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15480" windowHeight="9960" activeTab="3"/>
  </bookViews>
  <sheets>
    <sheet name="дод.1" sheetId="1" r:id="rId1"/>
    <sheet name="дод.2" sheetId="2" state="hidden" r:id="rId2"/>
    <sheet name="дод.2.1" sheetId="3" r:id="rId3"/>
    <sheet name="дод.3" sheetId="4" r:id="rId4"/>
    <sheet name="дод.3.1" sheetId="5" r:id="rId5"/>
    <sheet name="Дод.4" sheetId="6" r:id="rId6"/>
    <sheet name="дод.7" sheetId="7" state="hidden" r:id="rId7"/>
    <sheet name="Лист1" sheetId="8" r:id="rId8"/>
    <sheet name="дод.6" sheetId="9" r:id="rId9"/>
    <sheet name="дод.1.1" sheetId="10" r:id="rId10"/>
  </sheets>
  <definedNames>
    <definedName name="_xlfn.AGGREGATE" hidden="1">#NAME?</definedName>
    <definedName name="_xlnm.Print_Titles" localSheetId="0">'дод.1'!$A:$E,'дод.1'!$6:$6</definedName>
    <definedName name="_xlnm.Print_Titles" localSheetId="1">'дод.2'!$6:$6</definedName>
    <definedName name="_xlnm.Print_Titles" localSheetId="2">'дод.2.1'!$5:$7</definedName>
    <definedName name="_xlnm.Print_Area" localSheetId="0">'дод.1'!$A$2:$F$81</definedName>
    <definedName name="_xlnm.Print_Area" localSheetId="1">'дод.2'!$A$2:$E$22</definedName>
    <definedName name="_xlnm.Print_Area" localSheetId="2">'дод.2.1'!$B$1:$R$134</definedName>
    <definedName name="_xlnm.Print_Area" localSheetId="3">'дод.3'!$A$1:$V$64</definedName>
    <definedName name="_xlnm.Print_Area" localSheetId="4">'дод.3.1'!$A$1:$E$200</definedName>
    <definedName name="_xlnm.Print_Area" localSheetId="6">'дод.7'!$A$1:$I$22</definedName>
  </definedNames>
  <calcPr fullCalcOnLoad="1"/>
</workbook>
</file>

<file path=xl/sharedStrings.xml><?xml version="1.0" encoding="utf-8"?>
<sst xmlns="http://schemas.openxmlformats.org/spreadsheetml/2006/main" count="1176" uniqueCount="583">
  <si>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</si>
  <si>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</si>
  <si>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</si>
  <si>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</si>
  <si>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</si>
  <si>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</si>
  <si>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Інші заходи в галузі охорони здоровя</t>
  </si>
  <si>
    <t>Додаток  1.1</t>
  </si>
  <si>
    <t>Місцевий бюджет з якого надається субвенція</t>
  </si>
  <si>
    <t xml:space="preserve">На придбання шкільного автобуса </t>
  </si>
  <si>
    <t>Розвиток дитячо-юнацького та резервного спорту</t>
  </si>
  <si>
    <t>0315031</t>
  </si>
  <si>
    <t>Підтримка фізкультурно-спортивного руху</t>
  </si>
  <si>
    <t>0315053</t>
  </si>
  <si>
    <t>Здійснення соціальної роботи з вразливими категоріями населення</t>
  </si>
  <si>
    <t>Здійснення заходів та реалізація проектів на виконання Державнної цільової соціальної програми "Молодь України"</t>
  </si>
  <si>
    <t>Проведення спортивної роботи в регіоні</t>
  </si>
  <si>
    <t xml:space="preserve"> </t>
  </si>
  <si>
    <t>Заступник голови районної ради                                                                      З.М.Ляхович</t>
  </si>
  <si>
    <t>Підтримка спорту вищих досягнень та організацій, які здійснюють фізкультурно-спортивну діяльність в регіоні</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</si>
  <si>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</si>
  <si>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</si>
  <si>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Заклади і заходи з питань дітей та їх соціального захисту</t>
  </si>
  <si>
    <t xml:space="preserve">На оплату енергоносіїв для Городницької міської лікарні </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</si>
  <si>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</si>
  <si>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</si>
  <si>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Код</t>
  </si>
  <si>
    <t>Найменування 
згідно з класифікацією фінансування бюджету</t>
  </si>
  <si>
    <t>Загальне фінансування</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</si>
  <si>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</si>
  <si>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</si>
  <si>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</si>
  <si>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</si>
  <si>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</si>
  <si>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</si>
  <si>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</si>
  <si>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</si>
  <si>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</si>
  <si>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</si>
  <si>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</si>
  <si>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</si>
  <si>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</si>
  <si>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</si>
  <si>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</si>
  <si>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</si>
  <si>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</si>
  <si>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</si>
  <si>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</si>
  <si>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</si>
  <si>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</si>
  <si>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Надання державного пільгового кредиту індивідуальним сільським забудовникам</t>
  </si>
  <si>
    <t>Програма розвитку Центру надання адміністративних послуг Н-В РДА на 2017-2019 роки, затверджена від 31.05.2017</t>
  </si>
  <si>
    <t>Відділ містобудування, розвитку та архітектури Новоград-Волинської райдержадміністрації</t>
  </si>
  <si>
    <t>Надання та повернення пільгового довгострокового кредиту на будівництво(реконструкцію) та придбання житла</t>
  </si>
  <si>
    <t>Районна програма підтримки індивідуального житлового будівництва на селі "Власний дім" на 2017-2020 роки</t>
  </si>
  <si>
    <t>проведення капітального ремонту ДНЗ та даху по вул.Дитячій,3 в с.Ярунь</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</si>
  <si>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</si>
  <si>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</si>
  <si>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</si>
  <si>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</si>
  <si>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</si>
  <si>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</si>
  <si>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</si>
  <si>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</si>
  <si>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Від урядів зарубіжних країн та міжнародних організацій</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</si>
  <si>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</si>
  <si>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</si>
  <si>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</si>
  <si>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</si>
  <si>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</si>
  <si>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</si>
  <si>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</si>
  <si>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</si>
  <si>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</si>
  <si>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</si>
  <si>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</si>
  <si>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Код бюджету</t>
  </si>
  <si>
    <t>в т.ч. бюджет розвитку</t>
  </si>
  <si>
    <t>….</t>
  </si>
  <si>
    <t>…</t>
  </si>
  <si>
    <t>Податки на власність</t>
  </si>
  <si>
    <t xml:space="preserve">Збори та плата за спеціальне використання природних ресурсів </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</si>
  <si>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</si>
  <si>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</si>
  <si>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</si>
  <si>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</si>
  <si>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</si>
  <si>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Від органів державного управління</t>
  </si>
  <si>
    <t>Кошти, що надходять з інших бюджетів</t>
  </si>
  <si>
    <t>....</t>
  </si>
  <si>
    <t>.....</t>
  </si>
  <si>
    <t xml:space="preserve">Дотації </t>
  </si>
  <si>
    <t>Субвенції</t>
  </si>
  <si>
    <t>Всього доходів</t>
  </si>
  <si>
    <t>(тис. грн.)/грн.</t>
  </si>
  <si>
    <r>
      <t xml:space="preserve">Обласна рада </t>
    </r>
    <r>
      <rPr>
        <i/>
        <sz val="10"/>
        <rFont val="Times New Roman"/>
        <family val="1"/>
      </rPr>
      <t>(головний розпорядник)</t>
    </r>
  </si>
  <si>
    <r>
      <t xml:space="preserve">Обласна рада </t>
    </r>
    <r>
      <rPr>
        <i/>
        <sz val="10"/>
        <rFont val="Times New Roman"/>
        <family val="1"/>
      </rPr>
      <t>(відповідальний виконавець)</t>
    </r>
    <r>
      <rPr>
        <b/>
        <sz val="11"/>
        <rFont val="Times New Roman"/>
        <family val="1"/>
      </rPr>
      <t xml:space="preserve"> </t>
    </r>
  </si>
  <si>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</si>
  <si>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</si>
  <si>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t>0100000</t>
  </si>
  <si>
    <t>бюджет розвитку</t>
  </si>
  <si>
    <t xml:space="preserve">Всього </t>
  </si>
  <si>
    <t>101ххх0</t>
  </si>
  <si>
    <t>101ххх1</t>
  </si>
  <si>
    <t>101ххх2</t>
  </si>
  <si>
    <t>Додаток № 7
до рішення _______________ради
"Про ________________бюджет  на 20__ рік"</t>
  </si>
  <si>
    <t>Найменування місцевої (регіональної) програми</t>
  </si>
  <si>
    <t>Разом загальний та спеціальний фонди</t>
  </si>
  <si>
    <t>1060</t>
  </si>
  <si>
    <t>0411</t>
  </si>
  <si>
    <t>Місцеві податки</t>
  </si>
  <si>
    <t>0110170</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</si>
  <si>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</si>
  <si>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t>0117450</t>
  </si>
  <si>
    <t>ремонт артезіанської скважини в с.Гірки</t>
  </si>
  <si>
    <t xml:space="preserve">Сприяння розвитку малого та середнього підприємництва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</si>
  <si>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</si>
  <si>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Інші субвенція районному бюджету на 2017 рік</t>
  </si>
  <si>
    <t>на утримання Городницької міської лікарні (терапевтичного відділення №2)</t>
  </si>
  <si>
    <t>на придбання шкільних дощок для Колодянської ЗОШ І-ІІІ ст.</t>
  </si>
  <si>
    <t>На придбання бетонної огорожі для ФП С.Колодянка</t>
  </si>
  <si>
    <t>На придбання предметів, матеріалів, обладнання для Косенівської ЗОШ І-ІІІ ступенів</t>
  </si>
  <si>
    <t>На придбання предметів, матеріалів та обладнання для Барвинівської ЗОШ І-ІІІ ст.</t>
  </si>
  <si>
    <t>На придбання шкільних парт для Орепівської ЗОШ І-ІІ ступенів</t>
  </si>
  <si>
    <t>Пищівська сільська рада</t>
  </si>
  <si>
    <t xml:space="preserve">На заробітну плату з нарахуваннями та оплату енергоносіївдля Городницької міської лікарні </t>
  </si>
  <si>
    <t>Надання пільг та субсидій населенню на придбання твердого та рідкого пічного побутового палива і скрапленого газу</t>
  </si>
  <si>
    <t>Надання пільг з оплати послуг зв'язку та інщих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</si>
  <si>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допомоги сім'ям з дітьми, малозабезпеченим сім'ям, інвалідам з дитинства, дітям-інвалідам та тимчасової допомоги дітям</t>
  </si>
  <si>
    <t>від 28 липня 2017 року №</t>
  </si>
  <si>
    <t>на поточний ремонт Великогорбашівської ЗОШ</t>
  </si>
  <si>
    <t>Камяномайданська сільська рада</t>
  </si>
  <si>
    <t>придбання путівок для дітей, які проживають на території Камяномайданської сільської ради</t>
  </si>
  <si>
    <t>Технічне переоснащення системи газопостачання котельні Наталівської ЗОШ</t>
  </si>
  <si>
    <t>придбання путівок для дітей, які проживають на території Пищівської сільської ради</t>
  </si>
  <si>
    <t>на капітальний ремонт котельні з заміною твердопаливних котлів Стриївської ЗОШ</t>
  </si>
  <si>
    <t>на оплату проїзду лікарів терапевтичного відділення №2 Ярунської дільничої лікарні</t>
  </si>
  <si>
    <t>на підтримку проведення навчально-тренувального процесу та участі у змаганнях відділення важкої атлетики ДЮСШ Новоград-Волинської ради, яке базується на базі Ярунської ЗОШ</t>
  </si>
  <si>
    <t>Проведення невідкладних відновлювальних робіт, будівництво та реконструкція загальноосвітніх навчальних закладів</t>
  </si>
  <si>
    <t xml:space="preserve">                                                                                                                                                                         від 28 липня 2017 року № </t>
  </si>
  <si>
    <t>Погашення заборгованості по заробітній платі та податках КП "Гульськ-водоканал"</t>
  </si>
  <si>
    <t>Співфінансування за пролікованих учасників АТО та членів сімей загиблих учасників АТО</t>
  </si>
  <si>
    <t>придбання предметів та матеріалів для водогінної мережі ДНЗ с.Несолонь</t>
  </si>
  <si>
    <t>Районна програма розвитку культури в Новоград-Волинському районі на 2017 рік</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</si>
  <si>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</si>
  <si>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</si>
  <si>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</si>
  <si>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</si>
  <si>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</si>
  <si>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бюджетної програми/напряму видатків</t>
  </si>
  <si>
    <t>Назва підпрограми 1/напряму видатків</t>
  </si>
  <si>
    <t>Назва підпрограми 2/напряму видатків</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</si>
  <si>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</si>
  <si>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</si>
  <si>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</si>
  <si>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rPr>
        <vertAlign val="superscript"/>
        <sz val="10"/>
        <rFont val="Times New Roman"/>
        <family val="1"/>
      </rP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</si>
  <si>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t>7450</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</si>
  <si>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</si>
  <si>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rPr>
        <vertAlign val="superscript"/>
        <sz val="10"/>
        <rFont val="Times New Roman"/>
        <family val="1"/>
      </rP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</si>
  <si>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r>
      <t>Код ФКВКБ</t>
    </r>
    <r>
      <rPr>
        <b/>
        <vertAlign val="superscript"/>
        <sz val="10"/>
        <rFont val="Times New Roman"/>
        <family val="1"/>
      </rPr>
      <t>4</t>
    </r>
  </si>
  <si>
    <r>
      <t>Перелік місцевих (регіональних) програм, які фінансуватимуться за рахунок коштів
_______________бюджету  у _____ році</t>
    </r>
    <r>
      <rPr>
        <b/>
        <vertAlign val="superscript"/>
        <sz val="14"/>
        <rFont val="Times New Roman"/>
        <family val="1"/>
      </rPr>
      <t>1</t>
    </r>
    <r>
      <rPr>
        <b/>
        <sz val="18"/>
        <rFont val="Times New Roman"/>
        <family val="1"/>
      </rPr>
      <t xml:space="preserve">
</t>
    </r>
  </si>
  <si>
    <t>Податок та збір на доходи фізичних осіб</t>
  </si>
  <si>
    <t>Податок на доходи фізичних осіб, що сплачується податковими агентами, із доходів платника подітку у вигляді заробітної плати</t>
  </si>
  <si>
    <t>Податок на прибуток підприємств та фінансових установ комунальної власності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</si>
  <si>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</si>
  <si>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</si>
  <si>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</si>
  <si>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</si>
  <si>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</si>
  <si>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</si>
  <si>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</si>
  <si>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</si>
  <si>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І-ІІ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</si>
  <si>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</si>
  <si>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</si>
  <si>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</si>
  <si>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t>
  </si>
  <si>
    <t>Додаток № 2
до рішення районної ради
"Про районний бюджет  на 2017 рік"</t>
  </si>
  <si>
    <t>Фінансування районного бюджету  на 2017 рік</t>
  </si>
  <si>
    <r>
      <t>РОЗПОДІЛ</t>
    </r>
    <r>
      <rPr>
        <b/>
        <sz val="14"/>
        <rFont val="Times New Roman"/>
        <family val="1"/>
      </rPr>
      <t xml:space="preserve">
видатків районного бюджету  на 2017 рік</t>
    </r>
  </si>
  <si>
    <t>0133</t>
  </si>
  <si>
    <t>Інші видатки</t>
  </si>
  <si>
    <t>Новоград-Волинська районна державна адміністрація</t>
  </si>
  <si>
    <t>0810</t>
  </si>
  <si>
    <t>придбання житла військовому комісару Канюці С.В. Новоград-Волинського ОМВК</t>
  </si>
  <si>
    <t>Утримання та навчально-тренувальна робота комунальних дитячо-юнацьких спортивних шкіл</t>
  </si>
  <si>
    <t>0921</t>
  </si>
  <si>
    <t>0960</t>
  </si>
  <si>
    <t>Надання позашкільної освіти позашкільними закладами освіти, заходи із позашкільної роботи з дітьми</t>
  </si>
  <si>
    <t>0990</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</si>
  <si>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</si>
  <si>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</si>
  <si>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</si>
  <si>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нридбання насосної станції в Новороманівську ЗОШ</t>
  </si>
  <si>
    <t>Утримання інших закладів освіти</t>
  </si>
  <si>
    <t>Надання допомоги дітям-сиротам та дітям, позбавленим батьківського піклування, яким виповнюється 18 років</t>
  </si>
  <si>
    <t>Сектор сім'ї, молоді та спорту Новоград-Волинської районної державної адміністрації</t>
  </si>
  <si>
    <t>1040</t>
  </si>
  <si>
    <t>Центри соціальних служб для сім'ї, дітей та молоді</t>
  </si>
  <si>
    <t>Програми і заходи центрів соціальних служб для сім'ї, дітей та молоді</t>
  </si>
  <si>
    <t>Сектор охорони здоров'я Новоград-Волинської районної державної адміністрації</t>
  </si>
  <si>
    <t>0731</t>
  </si>
  <si>
    <t>Багатопрофільна стаціонарна медична допомога населенню</t>
  </si>
  <si>
    <t>0726</t>
  </si>
  <si>
    <t>Первинна медична допомога населенню</t>
  </si>
  <si>
    <t>Управління праці та соціального захисту населення Новоград-Волинської районної державної адміністрації</t>
  </si>
  <si>
    <t>0910</t>
  </si>
  <si>
    <t>1030</t>
  </si>
  <si>
    <t>Комплексна програма розвитку земельних відносин та охорони земель Новоград-Волинського району на період 2017-2021 років, рішення №172 від 21 грудня 2016 року</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</si>
  <si>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</si>
  <si>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придбання бензину для Романівської АЗПСМ</t>
  </si>
  <si>
    <t>проведення інтернету в Романівській АЗПСМ</t>
  </si>
  <si>
    <t>придбання будівельних матеріадів для Брониківської ЗОШ І-ІІ ст.</t>
  </si>
  <si>
    <t>придбання музичного центру в Новороманівській ДНЗ</t>
  </si>
  <si>
    <t>капітальний ремонт по заміні димохідної труби для Повчинської ЗОШ І=ІІІ ст.</t>
  </si>
  <si>
    <t>придбання предметів, матеріалів та інвентаря для Калинівської ЗОШ І-ІІ ст.</t>
  </si>
  <si>
    <t>виплата заробітної плати з нарахуваннями для Повчинської ФП</t>
  </si>
  <si>
    <t>виплата заробітної плати з нарахуваннями для Калинівської ФП</t>
  </si>
  <si>
    <t>утримання КЗ ЦПМСД (в т.ч. заробітна плата, медикаменти, оплата енергоносіїв, придбання госп.товарів, бензину)</t>
  </si>
  <si>
    <t>придбання путівок для оздоровлення дітей протягом дітнього періоду 2017 року</t>
  </si>
  <si>
    <t>На заробітну плату з нарахуваннями для працівників ФАП с.Велика Горбаша та ФП с.Мала Горбаша</t>
  </si>
  <si>
    <t>придбання столів та стільців у шкільну їдальню Пилиповицькій ЗОШ І-ІІІ ст</t>
  </si>
  <si>
    <t>придбання путівок для дітей, які проживають на території Киківської сільської ради</t>
  </si>
  <si>
    <t>прпидбання лікарських засобів на поповнення невідкладної допомоги Броницькогутянської АЗПСМ</t>
  </si>
  <si>
    <t>придбання будівельних матеріадів для Великомолодьківської ЗОШ І-ІІ ст.</t>
  </si>
  <si>
    <t>придбання путівок для дітей, які проживають на території Колодянської сільської ради</t>
  </si>
  <si>
    <t>Киянська сільська рада</t>
  </si>
  <si>
    <t>придбання предметів, матеріалів та інвентаря для Суслівської ЗОШ І-ІІ ст.</t>
  </si>
  <si>
    <t>придбання газового котла, циркулюючого насоса та комплектуючих для установки в Суслівську АЗПСМ</t>
  </si>
  <si>
    <t>на виплату заробітної плати працівників, придбання компютерної техніки, виробів едичного призначення, прально-прибиральних засобів, побутового інвентарю, офісних меблів для Наталівської АЗПСМ та Олександрівського ФП</t>
  </si>
  <si>
    <t>придбання канцелярських товарів, будівельних матеріалів, тканини на оздоблення сцени, жалюзі для наталівської ЗОШ</t>
  </si>
  <si>
    <t>на придбання ноутбука для КЗ ЦПМСД</t>
  </si>
  <si>
    <t>проведення капітального ремонту приміщення Наталівської ЗОШ</t>
  </si>
  <si>
    <t>оздоровлення та відпочинок дітей шкільного віку</t>
  </si>
  <si>
    <t>придбання медикаментів та перевязувальних матеріалів для Токарівської АЗПСМ та Камянського ФП</t>
  </si>
  <si>
    <t>Підвищення кваліфікації, перепідготовка кадрів іншими закладами та іншими закладами освіти</t>
  </si>
  <si>
    <t>придбання путівок для дітей, які проживають на території Жолобненської сільської ради</t>
  </si>
  <si>
    <t>Капітальний ремонт ДНЗ с.Ярунь по вул.Дитяча,3</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</si>
  <si>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</si>
  <si>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</si>
  <si>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На капітальний ремонт ДНЗ</t>
  </si>
  <si>
    <t>0950</t>
  </si>
  <si>
    <t>Підвищення кваліфікації, перепідготовка кадрівіншими закладами післядипломної освіти</t>
  </si>
  <si>
    <t>капітальний ремонт приміщень та інженерних мереж дитячого садка в с.Тупальці</t>
  </si>
  <si>
    <t>капітальний ремонт ДНЗ с.Ярунь</t>
  </si>
  <si>
    <t>Придбання музичного центру в Новороманівський ДНЗ</t>
  </si>
  <si>
    <t>0316310</t>
  </si>
  <si>
    <t>0490</t>
  </si>
  <si>
    <t>Заступник голови районної ради</t>
  </si>
  <si>
    <t>З.М.Ляхович</t>
  </si>
  <si>
    <t>Реалізація заходів щодо інвестиційного розвитку території</t>
  </si>
  <si>
    <t>0320</t>
  </si>
  <si>
    <t>0317810</t>
  </si>
  <si>
    <t>Видатки на запобігання та ліквідацію надзвичайних ситуацій та наслідків стихійного лиха</t>
  </si>
  <si>
    <t>На придбання резервуарів для води в Новороманівську ЗОШ</t>
  </si>
  <si>
    <t>придбання посуду для їдальні Новороманівської ЗОШ</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</si>
  <si>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</si>
  <si>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</si>
  <si>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</si>
  <si>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Реалізація державної політики у молодіжній сфері</t>
  </si>
  <si>
    <t>Інші заходи з розвитку фізичної культури та спорту</t>
  </si>
  <si>
    <t>0315030</t>
  </si>
  <si>
    <t>0315050</t>
  </si>
  <si>
    <t>0118600</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</si>
  <si>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</si>
  <si>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Забезпечення соціальними послугами громадян  похилого віку, інвалідів, дітей- 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</si>
  <si>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</si>
  <si>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1070</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</si>
  <si>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</si>
  <si>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</si>
  <si>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Заробітна плата з нарахуваннями працівникам централізованої бухгалтерії відділу культури, які проводять нарахування заробітної плати працівникам школи мистецтв району</t>
  </si>
  <si>
    <t>Субвенція з державного бюджету місцевим бюджетам на здійснення заходів щодо соціально-економічного розвитку територій</t>
  </si>
  <si>
    <t>Виплата заробітної плати з нарахуванням для ФП с.Косенів та с.Крайня Деражня</t>
  </si>
  <si>
    <t>Додаток № 1
до рішення районної ради
від 28 липня 2017 року №</t>
  </si>
  <si>
    <t>Додаток № 2
до рішення районної ради
від 28 липня 2017 року №</t>
  </si>
  <si>
    <t>Надання пiльг ветеранам вiйськової служби, ветеранам органiв внутрiшнiх справ, ветеранам податкової мiлiцiї, ветеранам державної пожежної охорони, ветеранам Державної кримiнально-виконавчої служби, ветеранам служби цивiльного захисту,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вяутрiшнiх справ, ветеранiв податкової мiлiцiї, ветеранiв державної пожежної охорони, ветеранiв державної кримiнально-виконавчо служби, ветеранiв служби цивiльного захисту та ветеранiв державної служби спецiального звязку та захисту iнформацiї України; звiльненим зi служби за вiком, через хворобу або за вислугою рокiв вiйськовослужбовцям Служби безпеки України, працiвникам мiлiцiї, особам начальницького складу податкової мiлiцiї, рядового i началъницького складу кримiнально-виконавчої системи; особам, звiльненим iз служби цивiльного захисту за вiком, через хворобу або за вислугою рокiв, та якi стали iнвалiдами пiд час виконашiя службових обов’язкiв; пенсiонерам з числа слiдчих прокуратури; дiтям (до досягненвя повнолiпя) працiвникiв мiлiцii, осiб начальницького складу податкової мiлiцiї, рядового i начальницького складу кримiнально-виконавчоУ системи, загиблих або померлих у звтязку з виконанням службовюс обовiязкiв, негiрацездатним членам сiмей, якi перебували на їх утриманнi; звiльненим з вiйськової служби особам, якi стали iнвалiдами пiд час проходження вiйськової служби; батькам та членам сiмей вiйськовослужбовцiв, державної служби спецiального зв’язку та захисту iнформацiї України, якi загинули (померли) або пропали безвiсти пiд час проходження вiйськової служби; батькам та членам сiмей осiб рядового i начальницького складу служби цивiльного захисту, якi загинули (померли) або зникли безвiсти пiд час виконання службових обов’язкiв на житлово-комунальнi послуги»</t>
  </si>
  <si>
    <t>Надання допомоги у зв'язку з вагітністю та пологами</t>
  </si>
  <si>
    <t>Інші субвенціі</t>
  </si>
  <si>
    <t xml:space="preserve">Код ТПКВКМБ 
</t>
  </si>
  <si>
    <t>на придбання бензину Пилиповицькій амбулаторії</t>
  </si>
  <si>
    <t xml:space="preserve">Найменування головного розпорядника, відповідального виконавця, бюджетної програми або напряму видатків
згідно з типовою відомчою/ТПКВКМБ </t>
  </si>
  <si>
    <t>Код ТПКВКМБ</t>
  </si>
  <si>
    <t>Найменування гоовного розпорядника, відповідального виконавця, бюджетної програми або напряму видатків згідно з типовою відомчою/ТПКВКМБ</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</si>
  <si>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</si>
  <si>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</si>
  <si>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</si>
  <si>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</si>
  <si>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на догляд за дитиною віком до трьох років</t>
  </si>
  <si>
    <t>Надання допомоги при народження дитини</t>
  </si>
  <si>
    <t>Надання допомоги на дітей, над якими  встановлено опіку і піклування</t>
  </si>
  <si>
    <t>Надання допомоги на дітей одиноким матерям</t>
  </si>
  <si>
    <t>Надання тимчасової днржавної допомоги дітям</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</si>
  <si>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</si>
  <si>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</si>
  <si>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</si>
  <si>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1090</t>
  </si>
  <si>
    <t>Інші видатки на соціальний захист населення</t>
  </si>
  <si>
    <t>1010</t>
  </si>
  <si>
    <t>Надання допомоги на догляд за інвалідом І чи ІІ групи внаслідок психічного розладу</t>
  </si>
  <si>
    <t>1020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</si>
  <si>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</si>
  <si>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на виконання Програми забезпечення житлом дітей-сиріт, дітей, позбавлених батьківського піклування, та осіб з їх числа на 2013-2017 роки </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</si>
  <si>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</si>
  <si>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Надання реабілітаційних послуг інвалідам та дітям-інвалідам</t>
  </si>
  <si>
    <t>Надання фінансової підтримки громадським організаціям інвалідів і ветеранів, діяльність яких має соціальну спрямованість</t>
  </si>
  <si>
    <t>Інші установи та заклади</t>
  </si>
  <si>
    <t>Надання державної соціальної допомоги інвалідам з дитинства та дітям-інвалідам</t>
  </si>
  <si>
    <t xml:space="preserve">Компенсаційні виплати на пільговий проїзд автомобільним транспортом окремим категоріям громадян </t>
  </si>
  <si>
    <t>Компенсаційні виплати за пільговий проїзд окремих категорій громадян на залізничному транспорті</t>
  </si>
  <si>
    <t>Служба у справах дітей Новоград-Волинської районної державної адміністрації</t>
  </si>
  <si>
    <t>Відділ культури Новоград-Волинської районної державної адміністрації</t>
  </si>
  <si>
    <t>Бібліотеки</t>
  </si>
  <si>
    <t>0828</t>
  </si>
  <si>
    <t>Палаци і будинки культури, клуби та інші заклади клубного типу</t>
  </si>
  <si>
    <t>0829</t>
  </si>
  <si>
    <t>Управління фінансів Новоград-Волинської районної державної адміністрації</t>
  </si>
  <si>
    <t>Резервний фонд</t>
  </si>
  <si>
    <t>0180</t>
  </si>
  <si>
    <t>Субвенція на утримання об'єктів спільного користування чи ліквідацію негативних наслідків діяльності об'єктів спільного користування</t>
  </si>
  <si>
    <t>Інші субвенції</t>
  </si>
  <si>
    <t>Надання інших пільг громадянам, які постраждали внаслідок Чорнобильської катастрофи, дружинам (чоловікам) та опікунам (на час опікунства0 дітей померлих громадян, смерть яких пов'язана з Чорнобильською катастрофою</t>
  </si>
  <si>
    <t>Додаток №3 до рішення районної ради</t>
  </si>
  <si>
    <t>Додаток  3.1</t>
  </si>
  <si>
    <t xml:space="preserve">Додаток  6 </t>
  </si>
  <si>
    <t>Надання інших пільг ветеранам війни, особам,на яких поширюється дія Закону України "Про статус ветеранів війни, гарантії їх соціального захисту", особам, які мають особливі заслуги перед Батківщиною, вдовам (вдівцям) та батькам померлих (загиблих) осіб, які мають особливі заслуги перед Батьківщиною, ветеранам праці, особам,які мають особливі заслуги перед Батьківщиною , вдовам (вдівцям0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</si>
  <si>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на утримання обєктів спільного користування чи ліквідацію негативних наслідків діяльності обєктів спільного користування</t>
  </si>
  <si>
    <t>Городницька селищна рада</t>
  </si>
  <si>
    <t>Барвинівська сільська рада</t>
  </si>
  <si>
    <t>Брониківська сільська рада</t>
  </si>
  <si>
    <t>Броницькогутянська сільська рада</t>
  </si>
  <si>
    <t>Плата за розміщення тимчасово вільних коштів місцувих бюджетів</t>
  </si>
  <si>
    <t>Адміністративний збір за проведення державної реєстрації юридичних осіб, фізичних осіб-підприємців та громадських формувань</t>
  </si>
  <si>
    <t>Адміністративний збір за державну реєстрацію речових прав на нерухоме майно та їх обтяжень</t>
  </si>
  <si>
    <t>Доходи районного бюджету на 2017рік</t>
  </si>
  <si>
    <t>Надання пiльг ветеранам вiйськової служби, ветеранам органiв внутрiшнiх справ, ветеранам податкової мiлiцiї, ветеранам державної пожежної охорони, ветеранам державної кримiнально-виконавчої служби, ветеранам служби цивiльного захисту,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ввутрiшнiх справ, ветеранiв податкової мiлiцiї, ветеранiв державної пожежної охорони, ветеранiв державної кримінально-виконавчої служби, ветеранiв служби цивiльного захисту та ветеранiв державної служби спецiального зв’язку та захисту iнформацiї України; звiльненим зi служби за вiком, у зв’язку з хворобою або вислугою рокiв працiвникам мiлiцiї, особам начальницького складу податкової мiлiцiї, рядового i начальницького складу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</si>
  <si>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</si>
  <si>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Заходи державної політики з питань дітей та їх соціального захисту</t>
  </si>
  <si>
    <t>0830</t>
  </si>
  <si>
    <t>0456</t>
  </si>
  <si>
    <t>Утримання та розвиток інфраструктури доріг</t>
  </si>
  <si>
    <t>Управління агропромислового розвитку Новоград-Волинської районної державної адміністрації</t>
  </si>
  <si>
    <t>Додаток  4</t>
  </si>
  <si>
    <t>до рішення районної ради</t>
  </si>
  <si>
    <t>грн.</t>
  </si>
  <si>
    <t>Назва місцевого бюджету адміністративно - територіальної одиниці</t>
  </si>
  <si>
    <t xml:space="preserve">Субвенції з районного бюджету </t>
  </si>
  <si>
    <t xml:space="preserve"> Субвенція загального фонду на:</t>
  </si>
  <si>
    <t xml:space="preserve"> Субвенція спеціального фонду на:</t>
  </si>
  <si>
    <t>Субвенція з державного бюджету місцевим бюджетам на проведення виборів депутатів місцевих рад та сільських, селищних, міських голів</t>
  </si>
  <si>
    <t>Стабілізаційна дотація</t>
  </si>
  <si>
    <t>Інші культурно-освітні заклади та заходи</t>
  </si>
  <si>
    <t>Медична субвенцiя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</si>
  <si>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</si>
  <si>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Косенівська сільська рада</t>
  </si>
  <si>
    <t>Стриївська сільська рада</t>
  </si>
  <si>
    <t>Перелік місцевих (регіональних) програм, які фінансуватимуться за рахунок коштів районного бюджету у 2017 році</t>
  </si>
  <si>
    <t>Код програмної класифікації видатків та кредитування місцевих бюджетів</t>
  </si>
  <si>
    <t>Код ФКВКБ</t>
  </si>
  <si>
    <t>0300000</t>
  </si>
  <si>
    <t>0310000</t>
  </si>
  <si>
    <t>0318600</t>
  </si>
  <si>
    <t xml:space="preserve">На виконання програми профілактики та оздоровлення від африканської чуми свиней в Новоград-Волинському районі на 2015-2020 роки </t>
  </si>
  <si>
    <t>Надання пільг окремим категоріям громадян з оплати послуг зв'язку</t>
  </si>
  <si>
    <t>Субвенція з місцевого бюджету державному бюджету на виконання програм соціально-економічного та культурного розвитку регіонів</t>
  </si>
  <si>
    <t>інші субвенції, всього</t>
  </si>
  <si>
    <t>в т.ч. на утримання:</t>
  </si>
  <si>
    <t>ДБ                       субвенція загального фонду</t>
  </si>
  <si>
    <t>ДБ                       субвенція спеціального фонду</t>
  </si>
  <si>
    <t>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</si>
  <si>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Районна комплексна програма соціального захисту інвалідів, ветеранів війни та праці, пенсіонерів та незахищених верств населення Новоград-Волинського району на 2013-2017 роки</t>
  </si>
  <si>
    <t xml:space="preserve">Районна програма соціальної підтримки громадян які прибувають з тимчасово окупованої території, районів проведення антитериростичної операції на територію Новоград-Волинського району та військовослужбовців, працівників Збройних Сил України, Національної гвардії України, Служби Безпеки України, інших силових структур, проживаючих на території району, що брали участь у антитерористичній операції з 2017 по 2022 рік включно,  рішення від 21 грудня 2016 року  </t>
  </si>
  <si>
    <t>субвенції з обласного бюджетуЗ.Ф.</t>
  </si>
  <si>
    <t>субвенції з обласного бюджетуС.Ф.</t>
  </si>
  <si>
    <t>Додаткові дотації</t>
  </si>
  <si>
    <t>Відхилення</t>
  </si>
  <si>
    <t>дошкільної освіти</t>
  </si>
  <si>
    <t>дільничих лікарень</t>
  </si>
  <si>
    <t>закладів культури</t>
  </si>
  <si>
    <t>житло дітям</t>
  </si>
  <si>
    <t>Великогорбашівська сільська рада</t>
  </si>
  <si>
    <t>Великомолодьківська сільска рада</t>
  </si>
  <si>
    <t>Гульська сільська рада</t>
  </si>
  <si>
    <t>Дідовицька сільська рада</t>
  </si>
  <si>
    <t>Заробітна плата з нарахуваннями працівникам, що проводять навчання в школах мистецтв району</t>
  </si>
  <si>
    <t>Оплата послуг (крім комунальних) в школах мистецтв</t>
  </si>
  <si>
    <t>Жолобненська сільська рада</t>
  </si>
  <si>
    <t>Кам"яномайданська сільська рада</t>
  </si>
  <si>
    <t>Киківська сільська рада</t>
  </si>
  <si>
    <t>Киянська сілська рада</t>
  </si>
  <si>
    <t>Кленівська сілська рада</t>
  </si>
  <si>
    <t>Колодянська сільска рада</t>
  </si>
  <si>
    <t>Косенівськак сільська рада</t>
  </si>
  <si>
    <t>Красилівська сільська</t>
  </si>
  <si>
    <t>Курчицька сільська рада</t>
  </si>
  <si>
    <t>Лебедівська сільська рада</t>
  </si>
  <si>
    <t>Лучицька сільська рада</t>
  </si>
  <si>
    <t>Майстрівська сільська рада</t>
  </si>
  <si>
    <t>Малоцвілянська сільська рада</t>
  </si>
  <si>
    <t>Наталівська сільська рада</t>
  </si>
  <si>
    <t>Несолонська сільська рада</t>
  </si>
  <si>
    <t>Новороманівська сільська рада</t>
  </si>
  <si>
    <t>Орепівська сільська рада</t>
  </si>
  <si>
    <t>Пилиповицька сільська рада</t>
  </si>
  <si>
    <t>Піщівська сільська рада</t>
  </si>
  <si>
    <t>Повчинська сільська рада</t>
  </si>
  <si>
    <t>Капітальний ремонт системи опалення ДНЗ "Сонечко" с.Жолобне</t>
  </si>
  <si>
    <t>На утримання Городницької міської лікарні (терапевтичне відділення №2 с.Ярунь)</t>
  </si>
  <si>
    <t>Районна програма військово-патріотичного виховання молоді та організації підготовки громадян до призову і служби в Збройних силах України на 2016-2020 роки, рішення від 22 грудня 2015 року №19</t>
  </si>
  <si>
    <t>Районна програма розвитку архівної справи на 2013-2017 роки</t>
  </si>
  <si>
    <t>Районна програма оздоровлення та відпочинку дітей на 2013-2017 роки, рішення від 12 квітня 2013 року №327</t>
  </si>
  <si>
    <t>Програма розвитку закладів охорони здоров'я Новоград-Волинського району з надання первинної та вторинної допомоги на 2016-2020 роки, рішення від 29 березня 2016 року №62</t>
  </si>
  <si>
    <t>на утримання дитячо-юнацької спортивної школи</t>
  </si>
  <si>
    <t>фінансування пільгового перевезення громадян автомобільним транспортом</t>
  </si>
  <si>
    <t>фінансування пільг з послуг зв'язку окремих категорій громадян</t>
  </si>
  <si>
    <t>придбання пільгових медикаментів для важекохворих людей</t>
  </si>
  <si>
    <t>утримання методичного забезпечення діяльності навчальних закладів та інші заходи в галузі освіти</t>
  </si>
  <si>
    <t>надання позашкільної освіти позашкільними закладами освіти, заходи з позашкіьної роботи з дітьми</t>
  </si>
  <si>
    <t>утримання централізованої бухгалтерії відділу освіти</t>
  </si>
  <si>
    <t>утримання ГЦГО відділу освіти</t>
  </si>
  <si>
    <t>утримання Ярунського міжшкільного комбінату</t>
  </si>
  <si>
    <t>утримання загальноосвітніх шкіл (в т.ч. заробітна плата, поточні видатки, енергоносії)</t>
  </si>
  <si>
    <t>ОТГ Чижівка</t>
  </si>
  <si>
    <t>утримання закладів охорони здоров'я (в т.ч. заробітна плата, поточні видатки, енергоносії)</t>
  </si>
  <si>
    <t>Придбання медичних гігієнічних засобів (на виконання програми згідно постанови №1301)</t>
  </si>
  <si>
    <t>Придбання лікуваьного харчування для хворих фенілкетонурією</t>
  </si>
  <si>
    <t>Управління агропромислового розвитку Новоград-Волинського району</t>
  </si>
  <si>
    <t>Поліянівська сільська рада</t>
  </si>
  <si>
    <t>Середньодеражнянська сільська рада</t>
  </si>
  <si>
    <t>Стриєвська сільська рада</t>
  </si>
  <si>
    <t>Суслівська сільська рада</t>
  </si>
  <si>
    <t>Суховольська сільська рада</t>
  </si>
  <si>
    <t>Тернівська сільська рада</t>
  </si>
  <si>
    <t>Токарівська сільська рада</t>
  </si>
  <si>
    <t>Тупальська сільська рада</t>
  </si>
  <si>
    <t>Федорівська сільська рада</t>
  </si>
  <si>
    <t>Червоновільська сільська рада</t>
  </si>
  <si>
    <t>Чижівська сільська рада</t>
  </si>
  <si>
    <t>Ярунська сільська рада</t>
  </si>
  <si>
    <t>м.Новоград-Волинський</t>
  </si>
  <si>
    <t>Обласний бюджет</t>
  </si>
  <si>
    <t xml:space="preserve">Заступник голови районної ради        </t>
  </si>
  <si>
    <t>Міжбюджетні трансферти з районного бюджету місцевим/державному бюджетам на 2017 рік</t>
  </si>
  <si>
    <t>Оновлення нормативної грошової оцінки земель населених пунктів Гульської сільської ради</t>
  </si>
  <si>
    <t>0763</t>
  </si>
  <si>
    <t xml:space="preserve">Додаток 4 </t>
  </si>
  <si>
    <t>Субвенція спеціального фонду</t>
  </si>
  <si>
    <t>Інші субвенції з районного бюджету місцевим бюджетам на 2017 рік</t>
  </si>
  <si>
    <t>Місцевий бюджет якому надається субвенція</t>
  </si>
  <si>
    <t>Призначення субвенції</t>
  </si>
  <si>
    <t>загальний фонд</t>
  </si>
  <si>
    <t>спеціальний фонд</t>
  </si>
  <si>
    <t>На виконання п 20 Прикінцевих положень БКУ на утримання дошкільної освіти</t>
  </si>
  <si>
    <t>На виконання п 20 Прикінцевих положень БКУ на утримання закладів культури</t>
  </si>
  <si>
    <t>на придбання електричної сковороди для Городницької ДНЗ № 1</t>
  </si>
  <si>
    <t>на придбання ноутбука та принтера-ксерокса для Городницької дитячої бібліотеки та Городницької дорослої бібліотеки</t>
  </si>
  <si>
    <t>на ремонт дитячого садка с.Городниця</t>
  </si>
  <si>
    <t>на придбання синтезатора, радіосистеми і звукових колонок для Городницького ДНЗ</t>
  </si>
  <si>
    <t>придбання обігрівачів</t>
  </si>
  <si>
    <t>На придбання пожежних мотопомп та ємностей для підвезення води та гасіння пожеж на утримання Броницькогутянської місцевої пожежної команди</t>
  </si>
  <si>
    <t>На капітальний ремонт ФП с.Груд</t>
  </si>
  <si>
    <t>Фінансування ДНЗ "Сонечко"</t>
  </si>
  <si>
    <t>Гульська сільска рада</t>
  </si>
  <si>
    <t>Дотація водопровідно-каналізаційному гомподарству на оплату праці з нарахуваннями та оплату енергоносіїв</t>
  </si>
  <si>
    <t>На часткове погашення боргу за проведений ремонт водогінної мережі в С.Гульськ</t>
  </si>
  <si>
    <t>Вуличне освітлення в с.Борисівка</t>
  </si>
  <si>
    <t>На заміну покрівлі даху Будинку культури с.Жолобне</t>
  </si>
  <si>
    <t>на утримання автодоріг у зимовий час</t>
  </si>
  <si>
    <t xml:space="preserve">на заміну віконних блоків у Киківській АЗПСМ </t>
  </si>
  <si>
    <t>На придбання частини лінії підвідного газопроводу для соціальних потреб населення громади</t>
  </si>
  <si>
    <t>на придбання житла для дітей-сиріт</t>
  </si>
  <si>
    <t>Красилівська сільська рада</t>
  </si>
  <si>
    <t>придбання дитячих ліжок для дитсадка та акустичної системи для клубу</t>
  </si>
  <si>
    <t>придбання аудіоапаратури для клубу</t>
  </si>
  <si>
    <t>На благоустрій території сільської ради</t>
  </si>
  <si>
    <t>на придбання ноутбука для Лучицької сільської ради</t>
  </si>
  <si>
    <t>на придбання принтера та ноутбука для сільської ради</t>
  </si>
  <si>
    <t>на придбання світлодіодних світильників для Несолонської сільської ради</t>
  </si>
  <si>
    <t>на придбання тенісного стола для Несолонської сільської ради</t>
  </si>
  <si>
    <t>на водопостачання ДНЗ С.Несолонь</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</si>
  <si>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</si>
  <si>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капітальний ремонт Будинку культури с.Теснівка</t>
  </si>
  <si>
    <t>На придбання телевізора для Новороманівського ДНЗ</t>
  </si>
  <si>
    <t>На придбання котла для Орепівської АЗПСМ</t>
  </si>
  <si>
    <t>На завершення капітального ремонту ДНЗ с.Пилиповичі</t>
  </si>
  <si>
    <t>На капітальний ремонт системи водопостачання та водовідведення АЗПСМ с.Пилиповичі</t>
  </si>
  <si>
    <t>На проведення капітального ремонту будівлі ФП с.Тернівка</t>
  </si>
  <si>
    <t>на ремонт дитячого садочку</t>
  </si>
  <si>
    <t>придбання оргтехніки та ноутбука</t>
  </si>
  <si>
    <t>на капітальний ремонт даху дошкільного закладу у с.Ярунь</t>
  </si>
  <si>
    <t>На утримання Ярунської ДЛ</t>
  </si>
  <si>
    <t>Оплата послуг (крім комунальних) в школах естетичного виховання</t>
  </si>
  <si>
    <t>Заробітна плата з нарахуваннями працівникам централізованої бухгалтерії відділу культури, які проводять нарахування заробітної плати працівникам району</t>
  </si>
  <si>
    <t xml:space="preserve"> інша субвенція згідно програми "Шкільний автобус"</t>
  </si>
  <si>
    <t>Інша субвенція згідно програми "Шкільний автобус"</t>
  </si>
  <si>
    <t>(грн.)</t>
  </si>
  <si>
    <t>Новоград-Волинська районна рада</t>
  </si>
  <si>
    <t>Про комплексну програму розвитку місцевого самоврядування в Новоград-Волинському районі на 2016 - 2020 роки, рішення сесії від 22 грудня 2015 року № 24</t>
  </si>
  <si>
    <t>Програма профілактики та боротьби із сказом в Новоград-Волинському районі на 2016-2020 роки, рішення сесії від 22 грудня 2015 року № 18</t>
  </si>
  <si>
    <t>250404</t>
  </si>
  <si>
    <t>Програма розвитку Центру надання адміністративних послуг Н-В РДА на 2014-2016 роки, затверджена від 09.07.2015 №450</t>
  </si>
  <si>
    <t>210105</t>
  </si>
  <si>
    <t>Видатки на запобігання та ліквідацію надзвичайних ситуацій та наслідків стихійного лиха </t>
  </si>
  <si>
    <t>Програма захисту населення від несприятливих побутових або нестандартних ситуацій на 2016 - 2020 роки, рішення сесії від 03.02.2016 року № 40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</si>
  <si>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</si>
  <si>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0317210</t>
  </si>
  <si>
    <t>Підтримка засобів масової інформації</t>
  </si>
  <si>
    <t>Підтримка періодичних видань (газет та журналів)</t>
  </si>
  <si>
    <t>0824</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</si>
  <si>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</si>
  <si>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Видатки на проведення робіт, пов'язаних із будівництвом, реконструкцією, ремонтом та утриманням автомобільних доріг </t>
  </si>
  <si>
    <t>Програма розвитку транспортної інфраструктури та шляхового господарства Новогра-Волинського району на 2016-2020 роки, рішення від 22 грудня 2015 № 22</t>
  </si>
  <si>
    <t>Програма розвитку футболу в Новоград-Волинському районі на 2015-2019 роки, рішення від 30 липня 2015 року №548 (ФК "Авангард")</t>
  </si>
  <si>
    <t>Програма військово-патріотичного виховання молоді, рішення сесії від 22 грудня 2015 року №119</t>
  </si>
  <si>
    <t>Сектор охорони здоров’я Новоград-Волинської районної державної адміністрації</t>
  </si>
  <si>
    <t>080800</t>
  </si>
  <si>
    <t>Центри  первинної медично (медико-санітарної) допомоги</t>
  </si>
  <si>
    <t>Программа розвитку закладів охорони здоровя Новоград-Волинського району з надання первинної та вторинної допомоги на 2016 - 2020 роки, рішення від 29 березня 2016 року № 62</t>
  </si>
  <si>
    <t>Районна програма надання адвокатських послуг на 2017-2020 роки, розпорядження голови №314 від 05.05.2017 року</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</si>
  <si>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2016 - 2019 роки, рішення від 3 лютого 2016 року № 43</t>
  </si>
  <si>
    <t>Управління праці  та соціального захисту населення Новоград-Волинської районної державної адміністрації</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</si>
  <si>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</si>
  <si>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Районна цільова соціальна програма "Шкільний автобус" на період до 2020 року, рішення сесії від 21 грудня 2016 року №176</t>
  </si>
  <si>
    <t>0317212</t>
  </si>
  <si>
    <t xml:space="preserve">Новоград-волинська районна рада </t>
  </si>
  <si>
    <t>Відділ освіти Новоград-Волинської районної державної адміністрації</t>
  </si>
  <si>
    <t xml:space="preserve">Відділ освіти Новоград-Волинської районної державної адміністрації </t>
  </si>
  <si>
    <t>Програма соціального захисту інвалідів, ветеранів війни та праці та незахищених верств населення Новогрпд-Волининського району на 2013 - 2017 роки, рішення від 26.06.2014 року № 1220</t>
  </si>
  <si>
    <t>Додаткова дотація з державного бюджету місцевим бюджетам на здійснення переданих з державного бюджету видатків на утримання закладів освіти та охорони здоров'я</t>
  </si>
  <si>
    <t>Заходи державної політики із забезпечення рівних прав та можливостей жінок та чоловіків</t>
  </si>
  <si>
    <t>Заходи державної політики з питань сім'ї</t>
  </si>
  <si>
    <t xml:space="preserve">Комплексна програма "Молодь і родина Новоград-Волинщини" на 2017-2021 роки, рішення від </t>
  </si>
  <si>
    <t xml:space="preserve">Надходження коштів  від відшкодування втрат сільськогосподарського і лісогосподарського виробництва </t>
  </si>
  <si>
    <t>Найменування згідно з класифікацією фінансування бюджету</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</si>
  <si>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</si>
  <si>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</si>
  <si>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</si>
  <si>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</si>
  <si>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</si>
  <si>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кінець періоду</t>
  </si>
  <si>
    <t>Кошти, що передаються із загального фонду бюджету до бюджету розвитку (спеціального фонду)</t>
  </si>
  <si>
    <t>Всього за типом кредитора</t>
  </si>
  <si>
    <t>Всього за типом боргового зобов"язання</t>
  </si>
  <si>
    <t xml:space="preserve">                       Перший заступник голови ради</t>
  </si>
  <si>
    <t>Фінансування районного бюджету на 2017 рік</t>
  </si>
  <si>
    <t>ОТГ Городниця</t>
  </si>
  <si>
    <t>Державний бюджет</t>
  </si>
  <si>
    <t>Програма надання пільг інвалідам по зору І та ІІ групи у Новоград - Волинському районі на 2016 - 2020 роки, рішення від 03 лютого 2016 року № 44</t>
  </si>
  <si>
    <t>Фінансова підтримка громадських організацій інвалідів і ветеранів</t>
  </si>
  <si>
    <t>О91214</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</si>
  <si>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</si>
  <si>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</si>
  <si>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 рішення від 03 лютого 2016 року № 42</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</si>
  <si>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</si>
  <si>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</si>
  <si>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Служба у справах дітей Новоград-Волинської райдержадміністрації</t>
  </si>
  <si>
    <t>Районна програма забезпечення житлом дітей сиріт, дітей, позбавлених батьківського піклування, та осіб з їх числа на 2013-2017 роки, рішення від 11 вересня 2013 року № 356</t>
  </si>
  <si>
    <t>Архівний сектор Новоград-Волинської районної державної адміністрації</t>
  </si>
  <si>
    <t xml:space="preserve">Прграма розвитку архівної справи на 2013-2017 роки, розпорядження від 15.05.2013 року № 180 </t>
  </si>
  <si>
    <t>Управління фінансів Новоград-Волинського району</t>
  </si>
  <si>
    <t>Програма профілактики та оздоровлення від африканської чуми свиней на 2015 -2020 роки, рішення сесії від 20 жовтня 2015 року № 579</t>
  </si>
  <si>
    <t>на придбання стендів для Стриївської ЗОШ</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</si>
  <si>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</si>
  <si>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</si>
  <si>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Додаток  8</t>
  </si>
  <si>
    <t>від 31 травня 2017 року №</t>
  </si>
  <si>
    <t>Перелік об’єктів, видатки на які у 2017 році будуть проводитися за рахунок коштів бюджету розвитку</t>
  </si>
  <si>
    <t>Найменування головного розпорядника, відповідального виконавця бюджетної програми або напрямку видатків згідно з типовою відомчою класифікацією/ТПКВКМБ</t>
  </si>
  <si>
    <t>Назва об'єктів відповідно до проектно-кошторисної документації;тощо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</si>
  <si>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</si>
  <si>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</si>
  <si>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об'єкту на майбутні роки</t>
  </si>
  <si>
    <t>Разом видатків на поточний рік</t>
  </si>
  <si>
    <t xml:space="preserve">Реконструкція незавершеного будівництва спального корпусу під дитячий дошкільний заклад в с.Гульськ Новоград-Волинського району </t>
  </si>
  <si>
    <t>Голова районної ради</t>
  </si>
  <si>
    <t>Д.В.Рудницький</t>
  </si>
  <si>
    <t xml:space="preserve">                                                                                                                                                                                                                                                               </t>
  </si>
  <si>
    <t>Відділ економічного розвитку, торгівлі та інфраструктури</t>
  </si>
  <si>
    <t>Інші заходи, пов'язані з економічною діяльністю</t>
  </si>
  <si>
    <t>Програма залучення інвестицій в економіку Новоград-Волинського району на 2016 - 2020 роки, рішення сесії від 22 грудня 2015 року № 15</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</si>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</sst>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_-* #,##0_р_._-;\-* #,##0_р_._-;_-* &quot;-&quot;??_р_._-;_-@_-"/>
    <numFmt numFmtId="203" formatCode="_-* #,##0.0_р_._-;\-* #,##0.0_р_._-;_-* &quot;-&quot;??_р_._-;_-@_-"/>
  </numFmts>
  <fonts count="80">
    <font>
      <sz val="10"/>
      <name val="Times New Roman"/>
      <family val="0"/>
    </font>
    <font>
      <b/>
      <sz val="10"/>
      <name val="Arial"/>
      <family val="0"/>
    </font>
    <font>
      <i/>
      <sz val="10"/>
      <name val="Arial"/>
      <family val="0"/>
    </font>
    <font>
      <b/>
      <i/>
      <sz val="10"/>
      <name val="Arial"/>
      <family val="0"/>
    </font>
    <font>
      <sz val="8"/>
      <name val="Times New Roman"/>
      <family val="1"/>
    </font>
    <font>
      <b/>
      <sz val="10"/>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sz val="9"/>
      <color indexed="8"/>
      <name val="Times New Roman"/>
      <family val="1"/>
    </font>
    <font>
      <sz val="14"/>
      <name val="Times New Roman"/>
      <family val="1"/>
    </font>
    <font>
      <sz val="8"/>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0"/>
      <color indexed="8"/>
      <name val="Arial"/>
      <family val="2"/>
    </font>
    <font>
      <i/>
      <sz val="11"/>
      <name val="Times New Roman"/>
      <family val="1"/>
    </font>
    <font>
      <i/>
      <sz val="11"/>
      <color indexed="8"/>
      <name val="Times New Roman"/>
      <family val="1"/>
    </font>
    <font>
      <b/>
      <i/>
      <sz val="11"/>
      <name val="Times New Roman"/>
      <family val="1"/>
    </font>
    <font>
      <vertAlign val="superscript"/>
      <sz val="10"/>
      <name val="Times New Roman"/>
      <family val="1"/>
    </font>
    <font>
      <b/>
      <vertAlign val="superscript"/>
      <sz val="10"/>
      <name val="Times New Roman"/>
      <family val="1"/>
    </font>
    <font>
      <b/>
      <vertAlign val="superscript"/>
      <sz val="14"/>
      <name val="Times New Roman"/>
      <family val="1"/>
    </font>
    <font>
      <b/>
      <i/>
      <sz val="10"/>
      <name val="Times New Roman"/>
      <family val="1"/>
    </font>
    <font>
      <b/>
      <sz val="9"/>
      <color indexed="8"/>
      <name val="Times New Roman"/>
      <family val="1"/>
    </font>
    <font>
      <sz val="13"/>
      <name val="Times New Roman"/>
      <family val="1"/>
    </font>
    <font>
      <sz val="12"/>
      <name val="Arial Cyr"/>
      <family val="0"/>
    </font>
    <font>
      <sz val="11"/>
      <name val="Arial Cyr"/>
      <family val="0"/>
    </font>
    <font>
      <sz val="12"/>
      <color indexed="8"/>
      <name val="Times New Roman"/>
      <family val="1"/>
    </font>
    <font>
      <i/>
      <sz val="13"/>
      <name val="Times New Roman"/>
      <family val="1"/>
    </font>
    <font>
      <sz val="12"/>
      <name val="Bookman Old Style"/>
      <family val="1"/>
    </font>
    <font>
      <b/>
      <sz val="14"/>
      <color indexed="10"/>
      <name val="Times New Roman"/>
      <family val="1"/>
    </font>
    <font>
      <sz val="14"/>
      <color indexed="10"/>
      <name val="Times New Roman"/>
      <family val="1"/>
    </font>
    <font>
      <sz val="13"/>
      <name val="Arial Cyr"/>
      <family val="2"/>
    </font>
    <font>
      <b/>
      <sz val="16"/>
      <name val="Arial Cyr"/>
      <family val="2"/>
    </font>
    <font>
      <b/>
      <sz val="8"/>
      <name val="Times New Roman"/>
      <family val="1"/>
    </font>
    <font>
      <b/>
      <sz val="10"/>
      <name val="Arial Cyr"/>
      <family val="0"/>
    </font>
    <font>
      <sz val="16"/>
      <name val="Times New Roman"/>
      <family val="1"/>
    </font>
    <font>
      <sz val="14"/>
      <name val="Arial Cyr"/>
      <family val="0"/>
    </font>
    <font>
      <b/>
      <sz val="14"/>
      <name val="Arial Cyr"/>
      <family val="0"/>
    </font>
    <font>
      <b/>
      <sz val="14"/>
      <color indexed="8"/>
      <name val="Times New Roman"/>
      <family val="1"/>
    </font>
    <font>
      <b/>
      <sz val="12"/>
      <name val="Arial Cyr"/>
      <family val="0"/>
    </font>
    <font>
      <b/>
      <i/>
      <sz val="14"/>
      <color indexed="8"/>
      <name val="Times New Roman"/>
      <family val="1"/>
    </font>
    <font>
      <b/>
      <i/>
      <sz val="14"/>
      <name val="Arial Cyr"/>
      <family val="0"/>
    </font>
    <font>
      <sz val="14"/>
      <color indexed="8"/>
      <name val="Times New Roman"/>
      <family val="1"/>
    </font>
    <font>
      <sz val="13"/>
      <color indexed="8"/>
      <name val="Times New Roman"/>
      <family val="1"/>
    </font>
    <font>
      <sz val="14"/>
      <name val="Arial"/>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border>
    <border>
      <left/>
      <right/>
      <top style="thin"/>
      <bottom style="thin"/>
    </border>
    <border>
      <left/>
      <right/>
      <top style="thin"/>
      <bottom/>
    </border>
    <border>
      <left style="thin"/>
      <right/>
      <top style="thin"/>
      <bottom style="thin"/>
    </border>
    <border>
      <left style="thin"/>
      <right style="thin"/>
      <top>
        <color indexed="63"/>
      </top>
      <bottom>
        <color indexed="63"/>
      </bottom>
    </border>
    <border>
      <left/>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color indexed="63"/>
      </left>
      <right style="thin"/>
      <top style="thin"/>
      <bottom/>
    </border>
    <border>
      <left>
        <color indexed="63"/>
      </left>
      <right style="thin"/>
      <top style="thin"/>
      <bottom style="thin"/>
    </border>
    <border>
      <left style="thin"/>
      <right style="thin"/>
      <top style="medium"/>
      <bottom>
        <color indexed="63"/>
      </bottom>
    </border>
    <border>
      <left>
        <color indexed="63"/>
      </left>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1" fillId="7" borderId="1" applyNumberFormat="0" applyAlignment="0" applyProtection="0"/>
    <xf numFmtId="0" fontId="12" fillId="24" borderId="2" applyNumberFormat="0" applyAlignment="0" applyProtection="0"/>
    <xf numFmtId="0" fontId="19" fillId="24" borderId="1" applyNumberFormat="0" applyAlignment="0" applyProtection="0"/>
    <xf numFmtId="0" fontId="27"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4" fillId="0" borderId="0">
      <alignment vertical="top"/>
      <protection/>
    </xf>
    <xf numFmtId="0" fontId="16" fillId="0" borderId="6" applyNumberFormat="0" applyFill="0" applyAlignment="0" applyProtection="0"/>
    <xf numFmtId="0" fontId="14" fillId="25" borderId="7"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78" fillId="26" borderId="1" applyNumberFormat="0" applyAlignment="0" applyProtection="0"/>
    <xf numFmtId="0" fontId="25" fillId="0" borderId="0">
      <alignment/>
      <protection/>
    </xf>
    <xf numFmtId="0" fontId="26" fillId="0" borderId="0">
      <alignment/>
      <protection/>
    </xf>
    <xf numFmtId="0" fontId="29" fillId="0" borderId="0" applyNumberFormat="0" applyFill="0" applyBorder="0" applyAlignment="0" applyProtection="0"/>
    <xf numFmtId="0" fontId="16" fillId="0" borderId="8" applyNumberFormat="0" applyFill="0" applyAlignment="0" applyProtection="0"/>
    <xf numFmtId="0" fontId="10" fillId="3"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8" fillId="10" borderId="9" applyNumberFormat="0" applyFont="0" applyAlignment="0" applyProtection="0"/>
    <xf numFmtId="0" fontId="0" fillId="10" borderId="9" applyNumberFormat="0" applyFont="0" applyAlignment="0" applyProtection="0"/>
    <xf numFmtId="183" fontId="1" fillId="0" borderId="0" applyFont="0" applyFill="0" applyBorder="0" applyAlignment="0" applyProtection="0"/>
    <xf numFmtId="0" fontId="12" fillId="26" borderId="2" applyNumberFormat="0" applyAlignment="0" applyProtection="0"/>
    <xf numFmtId="0" fontId="22" fillId="0" borderId="10" applyNumberFormat="0" applyFill="0" applyAlignment="0" applyProtection="0"/>
    <xf numFmtId="0" fontId="79" fillId="13" borderId="0" applyNumberFormat="0" applyBorder="0" applyAlignment="0" applyProtection="0"/>
    <xf numFmtId="0" fontId="24" fillId="0" borderId="0">
      <alignment/>
      <protection/>
    </xf>
    <xf numFmtId="0" fontId="15" fillId="0" borderId="0" applyNumberFormat="0" applyFill="0" applyBorder="0" applyAlignment="0" applyProtection="0"/>
    <xf numFmtId="0" fontId="13"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cellStyleXfs>
  <cellXfs count="637">
    <xf numFmtId="0" fontId="0" fillId="0" borderId="0" xfId="0" applyAlignment="1">
      <alignment/>
    </xf>
    <xf numFmtId="0" fontId="23" fillId="0" borderId="1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8" fillId="0" borderId="0" xfId="0" applyNumberFormat="1" applyFont="1" applyFill="1" applyAlignment="1" applyProtection="1">
      <alignment horizontal="center"/>
      <protection/>
    </xf>
    <xf numFmtId="0" fontId="0" fillId="0" borderId="0" xfId="0" applyFont="1" applyFill="1" applyAlignment="1">
      <alignment horizontal="center"/>
    </xf>
    <xf numFmtId="0" fontId="8" fillId="0" borderId="12" xfId="0" applyNumberFormat="1" applyFont="1" applyFill="1" applyBorder="1" applyAlignment="1" applyProtection="1">
      <alignment horizontal="center" vertical="top"/>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6" fillId="0" borderId="0" xfId="0" applyNumberFormat="1" applyFont="1" applyFill="1" applyAlignment="1" applyProtection="1">
      <alignment/>
      <protection/>
    </xf>
    <xf numFmtId="0" fontId="6"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6" fillId="0" borderId="0" xfId="0" applyNumberFormat="1" applyFont="1" applyFill="1" applyAlignment="1" applyProtection="1">
      <alignment vertical="top"/>
      <protection/>
    </xf>
    <xf numFmtId="0" fontId="6" fillId="0" borderId="0" xfId="0" applyFont="1" applyFill="1" applyAlignment="1">
      <alignment vertical="top"/>
    </xf>
    <xf numFmtId="0" fontId="0"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5" fillId="0" borderId="11"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31" fillId="0" borderId="11" xfId="0" applyNumberFormat="1" applyFont="1" applyFill="1" applyBorder="1" applyAlignment="1" applyProtection="1">
      <alignment vertical="center"/>
      <protection/>
    </xf>
    <xf numFmtId="184" fontId="31" fillId="0" borderId="11" xfId="0" applyNumberFormat="1" applyFont="1" applyFill="1" applyBorder="1" applyAlignment="1" applyProtection="1">
      <alignment horizontal="right" vertical="center"/>
      <protection/>
    </xf>
    <xf numFmtId="184" fontId="39" fillId="0" borderId="11" xfId="0" applyNumberFormat="1" applyFont="1" applyBorder="1" applyAlignment="1">
      <alignment vertical="center"/>
    </xf>
    <xf numFmtId="0" fontId="26" fillId="0" borderId="11" xfId="0" applyNumberFormat="1" applyFont="1" applyFill="1" applyBorder="1" applyAlignment="1" applyProtection="1">
      <alignment/>
      <protection/>
    </xf>
    <xf numFmtId="0" fontId="23" fillId="0" borderId="11" xfId="0" applyNumberFormat="1" applyFont="1" applyFill="1" applyBorder="1" applyAlignment="1" applyProtection="1">
      <alignment vertical="center"/>
      <protection/>
    </xf>
    <xf numFmtId="0" fontId="31" fillId="0" borderId="11" xfId="0" applyNumberFormat="1" applyFont="1" applyFill="1" applyBorder="1" applyAlignment="1" applyProtection="1">
      <alignment horizontal="left" vertical="top"/>
      <protection/>
    </xf>
    <xf numFmtId="0" fontId="45" fillId="0" borderId="11" xfId="0" applyNumberFormat="1" applyFont="1" applyFill="1" applyBorder="1" applyAlignment="1" applyProtection="1">
      <alignment horizontal="left" vertical="top"/>
      <protection/>
    </xf>
    <xf numFmtId="0" fontId="45" fillId="0" borderId="11" xfId="0" applyNumberFormat="1" applyFont="1" applyFill="1" applyBorder="1" applyAlignment="1" applyProtection="1">
      <alignment vertical="top" wrapText="1"/>
      <protection/>
    </xf>
    <xf numFmtId="0" fontId="33" fillId="0" borderId="11" xfId="0" applyNumberFormat="1" applyFont="1" applyFill="1" applyBorder="1" applyAlignment="1" applyProtection="1">
      <alignment horizontal="left" vertical="top"/>
      <protection/>
    </xf>
    <xf numFmtId="0" fontId="33" fillId="0" borderId="1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31" fillId="0" borderId="11" xfId="0" applyNumberFormat="1" applyFont="1" applyFill="1" applyBorder="1" applyAlignment="1" applyProtection="1">
      <alignment vertical="top" wrapText="1"/>
      <protection/>
    </xf>
    <xf numFmtId="184" fontId="31" fillId="0" borderId="11" xfId="0" applyNumberFormat="1" applyFont="1" applyFill="1" applyBorder="1" applyAlignment="1" applyProtection="1">
      <alignment horizontal="right" vertical="top"/>
      <protection/>
    </xf>
    <xf numFmtId="184" fontId="39" fillId="0" borderId="11" xfId="0" applyNumberFormat="1" applyFont="1" applyBorder="1" applyAlignment="1">
      <alignment vertical="top" wrapText="1"/>
    </xf>
    <xf numFmtId="0" fontId="33" fillId="0" borderId="11" xfId="0" applyNumberFormat="1" applyFont="1" applyFill="1" applyBorder="1" applyAlignment="1" applyProtection="1">
      <alignment vertical="top"/>
      <protection/>
    </xf>
    <xf numFmtId="184" fontId="45" fillId="0" borderId="11" xfId="0" applyNumberFormat="1" applyFont="1" applyFill="1" applyBorder="1" applyAlignment="1" applyProtection="1">
      <alignment horizontal="right" vertical="top"/>
      <protection/>
    </xf>
    <xf numFmtId="184" fontId="46" fillId="0" borderId="11" xfId="0" applyNumberFormat="1" applyFont="1" applyBorder="1" applyAlignment="1">
      <alignment vertical="top" wrapText="1"/>
    </xf>
    <xf numFmtId="184" fontId="33" fillId="0" borderId="11" xfId="0" applyNumberFormat="1" applyFont="1" applyFill="1" applyBorder="1" applyAlignment="1" applyProtection="1">
      <alignment horizontal="right" vertical="top"/>
      <protection/>
    </xf>
    <xf numFmtId="184" fontId="34" fillId="0" borderId="11" xfId="0" applyNumberFormat="1" applyFont="1" applyBorder="1" applyAlignment="1">
      <alignment vertical="top" wrapText="1"/>
    </xf>
    <xf numFmtId="184" fontId="33" fillId="0" borderId="11" xfId="0" applyNumberFormat="1" applyFont="1" applyFill="1" applyBorder="1" applyAlignment="1" applyProtection="1">
      <alignment horizontal="right" vertical="center"/>
      <protection/>
    </xf>
    <xf numFmtId="0" fontId="33"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right" vertical="center"/>
      <protection/>
    </xf>
    <xf numFmtId="0" fontId="31" fillId="0" borderId="11" xfId="0" applyFont="1" applyBorder="1" applyAlignment="1">
      <alignment horizontal="center" vertical="center" wrapText="1"/>
    </xf>
    <xf numFmtId="0" fontId="31" fillId="0" borderId="11" xfId="0" applyFont="1" applyBorder="1" applyAlignment="1">
      <alignment horizontal="justify" vertical="center" wrapText="1"/>
    </xf>
    <xf numFmtId="184" fontId="40" fillId="0" borderId="11" xfId="93" applyNumberFormat="1" applyFont="1" applyBorder="1" applyAlignment="1">
      <alignment vertical="center"/>
      <protection/>
    </xf>
    <xf numFmtId="184" fontId="40" fillId="0" borderId="11" xfId="93" applyNumberFormat="1" applyFont="1" applyBorder="1">
      <alignment vertical="top"/>
      <protection/>
    </xf>
    <xf numFmtId="0" fontId="33" fillId="0" borderId="11" xfId="0" applyFont="1" applyBorder="1" applyAlignment="1">
      <alignment horizontal="center" vertical="center" wrapText="1"/>
    </xf>
    <xf numFmtId="0" fontId="33" fillId="0" borderId="11" xfId="0" applyFont="1" applyBorder="1" applyAlignment="1">
      <alignment vertical="center" wrapText="1"/>
    </xf>
    <xf numFmtId="184" fontId="41" fillId="0" borderId="11" xfId="93" applyNumberFormat="1" applyFont="1" applyBorder="1">
      <alignment vertical="top"/>
      <protection/>
    </xf>
    <xf numFmtId="0" fontId="31" fillId="0" borderId="11" xfId="0" applyFont="1" applyBorder="1" applyAlignment="1">
      <alignment vertical="center" wrapText="1"/>
    </xf>
    <xf numFmtId="0" fontId="47" fillId="0" borderId="11" xfId="0" applyFont="1" applyBorder="1" applyAlignment="1">
      <alignment vertical="center" wrapText="1"/>
    </xf>
    <xf numFmtId="0" fontId="45" fillId="0" borderId="11" xfId="0" applyFont="1" applyBorder="1" applyAlignment="1">
      <alignment vertical="center" wrapText="1"/>
    </xf>
    <xf numFmtId="184" fontId="35" fillId="0" borderId="11" xfId="0" applyNumberFormat="1" applyFont="1" applyBorder="1" applyAlignment="1">
      <alignment vertical="justify"/>
    </xf>
    <xf numFmtId="0" fontId="0"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15" xfId="0" applyNumberFormat="1" applyFont="1" applyFill="1" applyBorder="1" applyAlignment="1" applyProtection="1">
      <alignment/>
      <protection/>
    </xf>
    <xf numFmtId="0" fontId="0" fillId="26" borderId="16" xfId="0" applyNumberFormat="1" applyFont="1" applyFill="1" applyBorder="1" applyAlignment="1" applyProtection="1">
      <alignment/>
      <protection/>
    </xf>
    <xf numFmtId="0" fontId="0" fillId="26" borderId="11" xfId="0" applyNumberFormat="1" applyFont="1" applyFill="1" applyBorder="1" applyAlignment="1" applyProtection="1">
      <alignment horizontal="center" vertical="center" wrapText="1"/>
      <protection/>
    </xf>
    <xf numFmtId="0" fontId="0" fillId="26" borderId="14" xfId="0" applyNumberFormat="1" applyFont="1" applyFill="1" applyBorder="1" applyAlignment="1" applyProtection="1">
      <alignment/>
      <protection/>
    </xf>
    <xf numFmtId="0" fontId="0" fillId="26" borderId="0" xfId="0" applyNumberFormat="1" applyFont="1" applyFill="1" applyBorder="1" applyAlignment="1" applyProtection="1">
      <alignment/>
      <protection/>
    </xf>
    <xf numFmtId="0" fontId="0" fillId="26" borderId="0" xfId="0" applyNumberFormat="1" applyFont="1" applyFill="1" applyAlignment="1" applyProtection="1">
      <alignment vertical="center"/>
      <protection/>
    </xf>
    <xf numFmtId="49" fontId="31" fillId="26" borderId="11" xfId="0" applyNumberFormat="1" applyFont="1" applyFill="1" applyBorder="1" applyAlignment="1">
      <alignment horizontal="center" vertical="center" wrapText="1"/>
    </xf>
    <xf numFmtId="0" fontId="31" fillId="26" borderId="11" xfId="0" applyFont="1" applyFill="1" applyBorder="1" applyAlignment="1">
      <alignment horizontal="justify" vertical="center" wrapText="1"/>
    </xf>
    <xf numFmtId="184" fontId="40" fillId="26" borderId="11" xfId="93" applyNumberFormat="1" applyFont="1" applyFill="1" applyBorder="1" applyAlignment="1">
      <alignment vertical="center"/>
      <protection/>
    </xf>
    <xf numFmtId="0" fontId="0" fillId="26" borderId="0" xfId="0" applyFont="1" applyFill="1" applyAlignment="1">
      <alignment vertical="center"/>
    </xf>
    <xf numFmtId="184" fontId="40" fillId="26" borderId="11" xfId="93" applyNumberFormat="1" applyFont="1" applyFill="1" applyBorder="1">
      <alignment vertical="top"/>
      <protection/>
    </xf>
    <xf numFmtId="49" fontId="33" fillId="26" borderId="11" xfId="0" applyNumberFormat="1" applyFont="1" applyFill="1" applyBorder="1" applyAlignment="1">
      <alignment horizontal="center" vertical="center" wrapText="1"/>
    </xf>
    <xf numFmtId="0" fontId="33" fillId="26" borderId="11" xfId="0" applyFont="1" applyFill="1" applyBorder="1" applyAlignment="1">
      <alignment vertical="center" wrapText="1"/>
    </xf>
    <xf numFmtId="0" fontId="31" fillId="26" borderId="11" xfId="0" applyFont="1" applyFill="1" applyBorder="1" applyAlignment="1">
      <alignment horizontal="center" vertical="center" wrapText="1"/>
    </xf>
    <xf numFmtId="184" fontId="41" fillId="26" borderId="11" xfId="93" applyNumberFormat="1" applyFont="1" applyFill="1" applyBorder="1">
      <alignment vertical="top"/>
      <protection/>
    </xf>
    <xf numFmtId="0" fontId="33" fillId="26" borderId="11" xfId="0" applyFont="1" applyFill="1" applyBorder="1" applyAlignment="1">
      <alignment horizontal="center" vertical="center" wrapText="1"/>
    </xf>
    <xf numFmtId="0" fontId="31" fillId="26" borderId="11" xfId="0" applyFont="1" applyFill="1" applyBorder="1" applyAlignment="1">
      <alignment vertical="center" wrapText="1"/>
    </xf>
    <xf numFmtId="0" fontId="0" fillId="26" borderId="0" xfId="0" applyNumberFormat="1" applyFont="1" applyFill="1" applyAlignment="1" applyProtection="1">
      <alignment/>
      <protection/>
    </xf>
    <xf numFmtId="0" fontId="31" fillId="0" borderId="0" xfId="0" applyNumberFormat="1" applyFont="1" applyFill="1" applyAlignment="1" applyProtection="1">
      <alignment wrapText="1"/>
      <protection/>
    </xf>
    <xf numFmtId="0" fontId="31" fillId="0" borderId="0" xfId="0" applyFont="1" applyFill="1" applyAlignment="1">
      <alignment wrapText="1"/>
    </xf>
    <xf numFmtId="0" fontId="0" fillId="0" borderId="12"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5" fillId="0" borderId="11" xfId="0" applyFont="1" applyBorder="1" applyAlignment="1">
      <alignment vertical="center" wrapText="1"/>
    </xf>
    <xf numFmtId="0" fontId="40" fillId="0" borderId="11" xfId="0" applyFont="1" applyBorder="1" applyAlignment="1">
      <alignment vertical="center" wrapText="1"/>
    </xf>
    <xf numFmtId="0" fontId="0" fillId="0" borderId="11" xfId="0" applyFont="1" applyBorder="1" applyAlignment="1">
      <alignment horizontal="justify" vertical="center" wrapText="1"/>
    </xf>
    <xf numFmtId="0" fontId="51" fillId="0" borderId="11" xfId="0" applyFont="1" applyBorder="1" applyAlignment="1">
      <alignment horizontal="justify" wrapText="1"/>
    </xf>
    <xf numFmtId="0" fontId="0" fillId="0" borderId="11" xfId="0" applyFont="1" applyBorder="1" applyAlignment="1">
      <alignment horizontal="justify" wrapText="1"/>
    </xf>
    <xf numFmtId="0" fontId="0" fillId="0" borderId="11" xfId="0" applyFont="1" applyBorder="1" applyAlignment="1">
      <alignment horizontal="justify" vertical="top" wrapText="1"/>
    </xf>
    <xf numFmtId="0" fontId="0" fillId="0" borderId="11" xfId="0" applyFont="1" applyBorder="1" applyAlignment="1">
      <alignment vertical="top" wrapText="1"/>
    </xf>
    <xf numFmtId="0" fontId="0" fillId="0" borderId="11" xfId="0" applyNumberFormat="1" applyFont="1" applyBorder="1" applyAlignment="1">
      <alignment vertical="top" wrapText="1"/>
    </xf>
    <xf numFmtId="3" fontId="33"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4" fillId="0" borderId="12" xfId="0" applyNumberFormat="1" applyFont="1" applyFill="1" applyBorder="1" applyAlignment="1" applyProtection="1">
      <alignment vertical="center"/>
      <protection/>
    </xf>
    <xf numFmtId="3" fontId="4" fillId="0" borderId="12" xfId="0" applyNumberFormat="1" applyFont="1" applyFill="1" applyBorder="1" applyAlignment="1" applyProtection="1">
      <alignment vertical="center"/>
      <protection/>
    </xf>
    <xf numFmtId="3" fontId="23" fillId="0" borderId="11"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right" vertical="center" wrapText="1"/>
      <protection/>
    </xf>
    <xf numFmtId="3" fontId="40" fillId="0" borderId="11" xfId="0" applyNumberFormat="1" applyFont="1" applyBorder="1" applyAlignment="1">
      <alignment vertical="center" wrapText="1"/>
    </xf>
    <xf numFmtId="3" fontId="0" fillId="0" borderId="11" xfId="0" applyNumberFormat="1" applyFont="1" applyFill="1" applyBorder="1" applyAlignment="1" applyProtection="1">
      <alignment horizontal="right" vertical="center" wrapText="1"/>
      <protection/>
    </xf>
    <xf numFmtId="3" fontId="41" fillId="0" borderId="11" xfId="0" applyNumberFormat="1" applyFont="1" applyBorder="1" applyAlignment="1">
      <alignment vertical="center" wrapText="1"/>
    </xf>
    <xf numFmtId="3" fontId="43" fillId="0" borderId="11" xfId="0" applyNumberFormat="1" applyFont="1" applyBorder="1" applyAlignment="1">
      <alignment vertical="center" wrapText="1"/>
    </xf>
    <xf numFmtId="3" fontId="7" fillId="0" borderId="11" xfId="0" applyNumberFormat="1" applyFont="1" applyFill="1" applyBorder="1" applyAlignment="1" applyProtection="1">
      <alignment horizontal="right" vertical="center" wrapText="1"/>
      <protection/>
    </xf>
    <xf numFmtId="3" fontId="42" fillId="0" borderId="11" xfId="0" applyNumberFormat="1" applyFont="1" applyBorder="1" applyAlignment="1">
      <alignment vertical="center" wrapText="1"/>
    </xf>
    <xf numFmtId="0" fontId="33" fillId="26" borderId="11" xfId="0" applyFont="1" applyFill="1" applyBorder="1" applyAlignment="1">
      <alignment horizontal="justify" vertical="center" wrapText="1"/>
    </xf>
    <xf numFmtId="0" fontId="0" fillId="26" borderId="0" xfId="0" applyFont="1" applyFill="1" applyAlignment="1">
      <alignment/>
    </xf>
    <xf numFmtId="0" fontId="5" fillId="26" borderId="0" xfId="0" applyNumberFormat="1" applyFont="1" applyFill="1" applyAlignment="1" applyProtection="1">
      <alignment/>
      <protection/>
    </xf>
    <xf numFmtId="0" fontId="5" fillId="26" borderId="0" xfId="0" applyFont="1" applyFill="1" applyAlignment="1">
      <alignment/>
    </xf>
    <xf numFmtId="0" fontId="33" fillId="0" borderId="17" xfId="0" applyFont="1" applyBorder="1" applyAlignment="1">
      <alignment horizontal="justify" vertical="center" wrapText="1"/>
    </xf>
    <xf numFmtId="0" fontId="33" fillId="0" borderId="11" xfId="0" applyFont="1" applyBorder="1" applyAlignment="1">
      <alignment horizontal="justify" vertical="center" wrapText="1"/>
    </xf>
    <xf numFmtId="0" fontId="34" fillId="0" borderId="0" xfId="0" applyFont="1" applyAlignment="1">
      <alignment vertical="center" wrapText="1"/>
    </xf>
    <xf numFmtId="0" fontId="34" fillId="0" borderId="11" xfId="0" applyFont="1" applyBorder="1" applyAlignment="1">
      <alignment vertical="center" wrapText="1"/>
    </xf>
    <xf numFmtId="0" fontId="33" fillId="0" borderId="11" xfId="0" applyFont="1" applyFill="1" applyBorder="1" applyAlignment="1">
      <alignment horizontal="left" vertical="top" wrapText="1" shrinkToFit="1"/>
    </xf>
    <xf numFmtId="0" fontId="33" fillId="26" borderId="11" xfId="0" applyFont="1" applyFill="1" applyBorder="1" applyAlignment="1">
      <alignment horizontal="justify" vertical="top" wrapText="1" shrinkToFit="1"/>
    </xf>
    <xf numFmtId="0" fontId="33" fillId="26" borderId="11" xfId="0" applyFont="1" applyFill="1" applyBorder="1" applyAlignment="1">
      <alignment horizontal="left" vertical="top" wrapText="1" shrinkToFit="1"/>
    </xf>
    <xf numFmtId="0" fontId="31" fillId="26" borderId="11" xfId="0" applyFont="1" applyFill="1" applyBorder="1" applyAlignment="1">
      <alignment horizontal="left" vertical="top" wrapText="1" shrinkToFit="1"/>
    </xf>
    <xf numFmtId="0" fontId="33" fillId="0" borderId="11" xfId="0" applyFont="1" applyFill="1" applyBorder="1" applyAlignment="1">
      <alignment horizontal="justify" vertical="top" wrapText="1"/>
    </xf>
    <xf numFmtId="184" fontId="52" fillId="26" borderId="11" xfId="0" applyNumberFormat="1" applyFont="1" applyFill="1" applyBorder="1" applyAlignment="1">
      <alignment vertical="justify"/>
    </xf>
    <xf numFmtId="0" fontId="7" fillId="0" borderId="11" xfId="0" applyFont="1" applyBorder="1" applyAlignment="1">
      <alignment horizontal="justify" wrapText="1"/>
    </xf>
    <xf numFmtId="0" fontId="5" fillId="0" borderId="11" xfId="0" applyFont="1" applyBorder="1" applyAlignment="1">
      <alignment horizontal="justify" vertical="center" wrapText="1"/>
    </xf>
    <xf numFmtId="0" fontId="0" fillId="0" borderId="11"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wrapText="1"/>
      <protection/>
    </xf>
    <xf numFmtId="0" fontId="5" fillId="0" borderId="0" xfId="0" applyFont="1" applyFill="1" applyAlignment="1">
      <alignment wrapText="1"/>
    </xf>
    <xf numFmtId="3" fontId="41" fillId="0" borderId="11" xfId="0" applyNumberFormat="1" applyFont="1" applyBorder="1" applyAlignment="1">
      <alignment horizontal="center" vertical="center" wrapText="1"/>
    </xf>
    <xf numFmtId="0" fontId="33" fillId="0" borderId="0" xfId="0" applyFont="1" applyAlignment="1">
      <alignment vertical="center" wrapText="1"/>
    </xf>
    <xf numFmtId="0" fontId="36" fillId="0" borderId="0" xfId="0" applyFont="1" applyAlignment="1">
      <alignment/>
    </xf>
    <xf numFmtId="0" fontId="53" fillId="0" borderId="0" xfId="0" applyFont="1" applyAlignment="1">
      <alignment/>
    </xf>
    <xf numFmtId="0" fontId="36" fillId="0" borderId="0" xfId="0" applyFont="1" applyAlignment="1">
      <alignment horizontal="left"/>
    </xf>
    <xf numFmtId="0" fontId="30" fillId="0" borderId="0" xfId="0" applyFont="1" applyAlignment="1">
      <alignment horizontal="right"/>
    </xf>
    <xf numFmtId="0" fontId="33" fillId="0" borderId="0" xfId="0" applyFont="1" applyAlignment="1">
      <alignment horizontal="left"/>
    </xf>
    <xf numFmtId="0" fontId="36" fillId="0" borderId="0" xfId="0" applyFont="1" applyAlignment="1">
      <alignment horizontal="center" vertical="center" wrapText="1"/>
    </xf>
    <xf numFmtId="0" fontId="36" fillId="0" borderId="0" xfId="0" applyFont="1" applyAlignment="1">
      <alignment horizontal="center" wrapText="1"/>
    </xf>
    <xf numFmtId="0" fontId="36" fillId="0" borderId="0" xfId="0" applyFont="1" applyAlignment="1">
      <alignment horizontal="right"/>
    </xf>
    <xf numFmtId="0" fontId="30" fillId="0" borderId="0" xfId="0" applyFont="1" applyAlignment="1">
      <alignment horizontal="right" wrapText="1"/>
    </xf>
    <xf numFmtId="0" fontId="36" fillId="0" borderId="15" xfId="0" applyFont="1" applyBorder="1" applyAlignment="1">
      <alignment horizontal="center" vertical="center" wrapText="1"/>
    </xf>
    <xf numFmtId="0" fontId="30" fillId="0" borderId="0" xfId="0" applyFont="1" applyBorder="1" applyAlignment="1">
      <alignment/>
    </xf>
    <xf numFmtId="0" fontId="36" fillId="0" borderId="0" xfId="0" applyFont="1" applyBorder="1" applyAlignment="1">
      <alignment/>
    </xf>
    <xf numFmtId="0" fontId="36" fillId="0" borderId="12" xfId="0" applyFont="1" applyBorder="1" applyAlignment="1">
      <alignment horizontal="center" vertical="center" wrapText="1"/>
    </xf>
    <xf numFmtId="0" fontId="36" fillId="0" borderId="12" xfId="0" applyFont="1" applyBorder="1" applyAlignment="1">
      <alignment horizontal="left"/>
    </xf>
    <xf numFmtId="0" fontId="36" fillId="0" borderId="18" xfId="0" applyFont="1" applyBorder="1" applyAlignment="1">
      <alignment horizontal="center" vertical="center" wrapText="1"/>
    </xf>
    <xf numFmtId="0" fontId="36" fillId="0" borderId="18" xfId="0" applyFont="1" applyBorder="1" applyAlignment="1">
      <alignment horizontal="left"/>
    </xf>
    <xf numFmtId="0" fontId="36" fillId="0" borderId="19" xfId="0" applyFont="1" applyBorder="1" applyAlignment="1">
      <alignment horizontal="center" vertical="center" wrapText="1"/>
    </xf>
    <xf numFmtId="0" fontId="36" fillId="0" borderId="19" xfId="0" applyFont="1" applyBorder="1" applyAlignment="1">
      <alignment horizontal="left"/>
    </xf>
    <xf numFmtId="0" fontId="36" fillId="0" borderId="20" xfId="0" applyFont="1" applyBorder="1" applyAlignment="1">
      <alignment horizontal="center" vertical="center" wrapText="1"/>
    </xf>
    <xf numFmtId="0" fontId="0" fillId="0" borderId="0" xfId="0" applyBorder="1" applyAlignment="1">
      <alignment/>
    </xf>
    <xf numFmtId="3" fontId="36" fillId="0" borderId="21" xfId="0" applyNumberFormat="1" applyFont="1" applyFill="1" applyBorder="1" applyAlignment="1">
      <alignment horizontal="center" vertical="top" wrapText="1"/>
    </xf>
    <xf numFmtId="0" fontId="34" fillId="0" borderId="11" xfId="0" applyFont="1" applyBorder="1" applyAlignment="1">
      <alignment horizontal="center" wrapText="1"/>
    </xf>
    <xf numFmtId="0" fontId="56" fillId="0" borderId="11" xfId="0" applyFont="1" applyBorder="1" applyAlignment="1">
      <alignment horizontal="left" wrapText="1"/>
    </xf>
    <xf numFmtId="0" fontId="56" fillId="0" borderId="11" xfId="0" applyFont="1" applyBorder="1" applyAlignment="1">
      <alignment horizontal="center" wrapText="1"/>
    </xf>
    <xf numFmtId="3" fontId="36" fillId="0" borderId="11" xfId="0" applyNumberFormat="1" applyFont="1" applyBorder="1" applyAlignment="1">
      <alignment horizontal="center"/>
    </xf>
    <xf numFmtId="3" fontId="36" fillId="0" borderId="22" xfId="0" applyNumberFormat="1" applyFont="1" applyBorder="1" applyAlignment="1">
      <alignment horizontal="center"/>
    </xf>
    <xf numFmtId="4" fontId="36" fillId="0" borderId="11" xfId="0" applyNumberFormat="1" applyFont="1" applyBorder="1" applyAlignment="1">
      <alignment horizontal="center"/>
    </xf>
    <xf numFmtId="3" fontId="36" fillId="0" borderId="11" xfId="0" applyNumberFormat="1" applyFont="1" applyBorder="1" applyAlignment="1">
      <alignment/>
    </xf>
    <xf numFmtId="3" fontId="36" fillId="0" borderId="0" xfId="0" applyNumberFormat="1" applyFont="1" applyAlignment="1">
      <alignment/>
    </xf>
    <xf numFmtId="1" fontId="36" fillId="0" borderId="11" xfId="0" applyNumberFormat="1" applyFont="1" applyBorder="1" applyAlignment="1">
      <alignment horizontal="center"/>
    </xf>
    <xf numFmtId="3" fontId="36" fillId="0" borderId="11" xfId="115" applyNumberFormat="1" applyFont="1" applyBorder="1" applyAlignment="1">
      <alignment horizontal="center"/>
    </xf>
    <xf numFmtId="3" fontId="36" fillId="0" borderId="20" xfId="0" applyNumberFormat="1" applyFont="1" applyBorder="1" applyAlignment="1">
      <alignment/>
    </xf>
    <xf numFmtId="0" fontId="30" fillId="0" borderId="11" xfId="0" applyFont="1" applyBorder="1" applyAlignment="1">
      <alignment horizontal="left" wrapText="1"/>
    </xf>
    <xf numFmtId="0" fontId="30" fillId="0" borderId="11" xfId="0" applyFont="1" applyBorder="1" applyAlignment="1">
      <alignment horizontal="center" wrapText="1"/>
    </xf>
    <xf numFmtId="0" fontId="36" fillId="0" borderId="11" xfId="0" applyFont="1" applyBorder="1" applyAlignment="1">
      <alignment/>
    </xf>
    <xf numFmtId="0" fontId="30" fillId="0" borderId="11" xfId="0" applyFont="1" applyBorder="1" applyAlignment="1">
      <alignment horizontal="justify" vertical="top" wrapText="1"/>
    </xf>
    <xf numFmtId="0" fontId="34" fillId="0" borderId="23" xfId="0" applyFont="1" applyBorder="1" applyAlignment="1">
      <alignment horizontal="center" wrapText="1"/>
    </xf>
    <xf numFmtId="0" fontId="30" fillId="0" borderId="24" xfId="0" applyFont="1" applyBorder="1" applyAlignment="1">
      <alignment horizontal="left" wrapText="1"/>
    </xf>
    <xf numFmtId="4" fontId="36" fillId="0" borderId="0" xfId="0" applyNumberFormat="1" applyFont="1" applyAlignment="1">
      <alignment/>
    </xf>
    <xf numFmtId="0" fontId="34" fillId="0" borderId="0" xfId="0" applyFont="1" applyBorder="1" applyAlignment="1">
      <alignment horizontal="center" wrapText="1"/>
    </xf>
    <xf numFmtId="0" fontId="30" fillId="0" borderId="0" xfId="0" applyFont="1" applyBorder="1" applyAlignment="1">
      <alignment horizontal="left" wrapText="1"/>
    </xf>
    <xf numFmtId="0" fontId="57" fillId="0" borderId="0" xfId="0" applyFont="1" applyBorder="1" applyAlignment="1">
      <alignment horizontal="left" wrapText="1"/>
    </xf>
    <xf numFmtId="0" fontId="36" fillId="0" borderId="0" xfId="0" applyFont="1" applyBorder="1" applyAlignment="1">
      <alignment/>
    </xf>
    <xf numFmtId="0" fontId="58" fillId="0" borderId="0" xfId="0" applyFont="1" applyBorder="1" applyAlignment="1">
      <alignment horizontal="justify" vertical="top" wrapText="1"/>
    </xf>
    <xf numFmtId="187" fontId="59" fillId="0" borderId="0" xfId="0" applyNumberFormat="1" applyFont="1" applyBorder="1" applyAlignment="1">
      <alignment horizontal="center"/>
    </xf>
    <xf numFmtId="4" fontId="60" fillId="0" borderId="0" xfId="0" applyNumberFormat="1" applyFont="1" applyAlignment="1">
      <alignment/>
    </xf>
    <xf numFmtId="187" fontId="53" fillId="26" borderId="0" xfId="0" applyNumberFormat="1" applyFont="1" applyFill="1" applyBorder="1" applyAlignment="1">
      <alignment horizontal="right"/>
    </xf>
    <xf numFmtId="0" fontId="5" fillId="0" borderId="0" xfId="0" applyNumberFormat="1" applyFont="1" applyFill="1" applyBorder="1" applyAlignment="1" applyProtection="1">
      <alignment horizontal="center" vertical="center" wrapText="1"/>
      <protection/>
    </xf>
    <xf numFmtId="3" fontId="5" fillId="0" borderId="0" xfId="0" applyNumberFormat="1" applyFont="1" applyFill="1" applyBorder="1" applyAlignment="1" applyProtection="1">
      <alignment horizontal="right" vertical="center" wrapText="1"/>
      <protection/>
    </xf>
    <xf numFmtId="0" fontId="5" fillId="0" borderId="0" xfId="0" applyFont="1" applyBorder="1" applyAlignment="1">
      <alignment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8" fillId="0" borderId="12" xfId="0" applyFont="1" applyBorder="1" applyAlignment="1">
      <alignment/>
    </xf>
    <xf numFmtId="0" fontId="8" fillId="0" borderId="0" xfId="0" applyFont="1" applyBorder="1" applyAlignment="1">
      <alignment/>
    </xf>
    <xf numFmtId="0" fontId="36" fillId="0" borderId="0" xfId="0" applyFont="1" applyBorder="1" applyAlignment="1">
      <alignment horizontal="left"/>
    </xf>
    <xf numFmtId="0" fontId="8" fillId="0" borderId="18" xfId="0" applyFont="1" applyBorder="1" applyAlignment="1">
      <alignment/>
    </xf>
    <xf numFmtId="0" fontId="8" fillId="0" borderId="19" xfId="0" applyFont="1" applyBorder="1" applyAlignment="1">
      <alignment/>
    </xf>
    <xf numFmtId="0" fontId="8" fillId="0" borderId="0" xfId="0" applyFont="1" applyAlignment="1">
      <alignment/>
    </xf>
    <xf numFmtId="3" fontId="8" fillId="0" borderId="11" xfId="0" applyNumberFormat="1" applyFont="1" applyBorder="1" applyAlignment="1">
      <alignment horizontal="center"/>
    </xf>
    <xf numFmtId="197" fontId="8" fillId="0" borderId="11" xfId="0" applyNumberFormat="1" applyFont="1" applyBorder="1" applyAlignment="1">
      <alignment horizontal="center"/>
    </xf>
    <xf numFmtId="3" fontId="8" fillId="0" borderId="20" xfId="0" applyNumberFormat="1" applyFont="1" applyBorder="1" applyAlignment="1">
      <alignment horizontal="center"/>
    </xf>
    <xf numFmtId="3" fontId="8" fillId="0" borderId="0" xfId="0" applyNumberFormat="1" applyFont="1" applyBorder="1" applyAlignment="1">
      <alignment horizontal="center"/>
    </xf>
    <xf numFmtId="3" fontId="8" fillId="0" borderId="24" xfId="0" applyNumberFormat="1" applyFont="1" applyBorder="1" applyAlignment="1">
      <alignment horizontal="center" wrapText="1"/>
    </xf>
    <xf numFmtId="3" fontId="8" fillId="0" borderId="0" xfId="0" applyNumberFormat="1" applyFont="1" applyBorder="1" applyAlignment="1">
      <alignment horizontal="center" wrapText="1"/>
    </xf>
    <xf numFmtId="4" fontId="8" fillId="0" borderId="0" xfId="0" applyNumberFormat="1" applyFont="1" applyBorder="1" applyAlignment="1">
      <alignment horizontal="center"/>
    </xf>
    <xf numFmtId="0" fontId="30" fillId="0" borderId="0" xfId="0" applyFont="1" applyAlignment="1">
      <alignment horizontal="left"/>
    </xf>
    <xf numFmtId="0" fontId="36" fillId="0" borderId="0" xfId="0" applyFont="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top" wrapText="1"/>
    </xf>
    <xf numFmtId="0" fontId="36" fillId="0" borderId="11" xfId="0" applyFont="1" applyBorder="1" applyAlignment="1">
      <alignment horizontal="center" vertical="top" wrapText="1"/>
    </xf>
    <xf numFmtId="0" fontId="33" fillId="0" borderId="11" xfId="112" applyFont="1" applyFill="1" applyBorder="1" applyAlignment="1">
      <alignment horizontal="left" vertical="center" wrapText="1"/>
      <protection/>
    </xf>
    <xf numFmtId="1" fontId="33" fillId="0" borderId="11" xfId="100" applyNumberFormat="1" applyFont="1" applyFill="1" applyBorder="1" applyAlignment="1">
      <alignment horizontal="center" vertical="center" wrapText="1"/>
      <protection/>
    </xf>
    <xf numFmtId="0" fontId="33" fillId="0" borderId="11" xfId="0" applyFont="1" applyFill="1" applyBorder="1" applyAlignment="1">
      <alignment horizontal="left" wrapText="1"/>
    </xf>
    <xf numFmtId="1" fontId="33" fillId="0" borderId="11" xfId="112" applyNumberFormat="1" applyFont="1" applyFill="1" applyBorder="1" applyAlignment="1">
      <alignment horizontal="center" vertical="center"/>
      <protection/>
    </xf>
    <xf numFmtId="3" fontId="31" fillId="0" borderId="11" xfId="0" applyNumberFormat="1" applyFont="1" applyBorder="1" applyAlignment="1">
      <alignment horizontal="center"/>
    </xf>
    <xf numFmtId="1" fontId="31" fillId="0" borderId="11" xfId="0" applyNumberFormat="1" applyFont="1" applyBorder="1" applyAlignment="1">
      <alignment horizontal="center" vertical="center" wrapText="1"/>
    </xf>
    <xf numFmtId="0" fontId="33" fillId="26" borderId="11" xfId="112" applyFont="1" applyFill="1" applyBorder="1" applyAlignment="1">
      <alignment horizontal="left" vertical="center" wrapText="1"/>
      <protection/>
    </xf>
    <xf numFmtId="0" fontId="33" fillId="0" borderId="11" xfId="0" applyFont="1" applyBorder="1" applyAlignment="1">
      <alignment horizontal="left" vertical="center" wrapText="1"/>
    </xf>
    <xf numFmtId="3" fontId="33" fillId="0" borderId="11" xfId="115" applyNumberFormat="1" applyFont="1" applyBorder="1" applyAlignment="1">
      <alignment horizontal="center"/>
    </xf>
    <xf numFmtId="3" fontId="33" fillId="0" borderId="11" xfId="0" applyNumberFormat="1" applyFont="1" applyBorder="1" applyAlignment="1">
      <alignment horizontal="center"/>
    </xf>
    <xf numFmtId="3" fontId="33" fillId="0" borderId="17" xfId="115" applyNumberFormat="1" applyFont="1" applyBorder="1" applyAlignment="1">
      <alignment horizontal="center" vertical="center" wrapText="1"/>
    </xf>
    <xf numFmtId="3" fontId="33" fillId="0" borderId="11" xfId="0" applyNumberFormat="1" applyFont="1" applyBorder="1" applyAlignment="1">
      <alignment horizontal="center" vertical="center"/>
    </xf>
    <xf numFmtId="3" fontId="33" fillId="0" borderId="17" xfId="0" applyNumberFormat="1" applyFont="1" applyBorder="1" applyAlignment="1">
      <alignment horizontal="center"/>
    </xf>
    <xf numFmtId="0" fontId="33" fillId="0" borderId="25" xfId="0" applyFont="1" applyBorder="1" applyAlignment="1">
      <alignment horizontal="left" vertical="center" wrapText="1"/>
    </xf>
    <xf numFmtId="3" fontId="31" fillId="0" borderId="11" xfId="115" applyNumberFormat="1" applyFont="1" applyBorder="1" applyAlignment="1">
      <alignment horizontal="center"/>
    </xf>
    <xf numFmtId="3" fontId="33" fillId="0" borderId="21" xfId="0" applyNumberFormat="1" applyFont="1" applyBorder="1" applyAlignment="1">
      <alignment horizontal="center" wrapText="1"/>
    </xf>
    <xf numFmtId="3" fontId="31" fillId="0" borderId="21" xfId="115" applyNumberFormat="1" applyFont="1" applyBorder="1" applyAlignment="1">
      <alignment horizontal="center"/>
    </xf>
    <xf numFmtId="187" fontId="8" fillId="0" borderId="0" xfId="0" applyNumberFormat="1" applyFont="1" applyBorder="1" applyAlignment="1">
      <alignment horizontal="center"/>
    </xf>
    <xf numFmtId="0" fontId="61" fillId="0" borderId="0" xfId="0" applyFont="1" applyFill="1" applyAlignment="1">
      <alignment/>
    </xf>
    <xf numFmtId="0" fontId="0" fillId="0" borderId="0" xfId="0" applyFill="1" applyAlignment="1">
      <alignment wrapText="1"/>
    </xf>
    <xf numFmtId="0" fontId="0" fillId="0" borderId="0" xfId="0" applyFont="1" applyFill="1" applyAlignment="1">
      <alignment horizontal="center"/>
    </xf>
    <xf numFmtId="0" fontId="0" fillId="0" borderId="11" xfId="0" applyFont="1" applyFill="1" applyBorder="1" applyAlignment="1">
      <alignment horizontal="center" vertical="center" wrapText="1"/>
    </xf>
    <xf numFmtId="0" fontId="23" fillId="0" borderId="11" xfId="0" applyFont="1" applyFill="1" applyBorder="1" applyAlignment="1">
      <alignment horizontal="center" vertical="top" wrapText="1" shrinkToFit="1"/>
    </xf>
    <xf numFmtId="0" fontId="33" fillId="0" borderId="11" xfId="0" applyFont="1" applyFill="1" applyBorder="1" applyAlignment="1">
      <alignment horizontal="left" vertical="center" wrapText="1"/>
    </xf>
    <xf numFmtId="3" fontId="23" fillId="0" borderId="11" xfId="0" applyNumberFormat="1" applyFont="1" applyFill="1" applyBorder="1" applyAlignment="1">
      <alignment horizontal="center" vertical="center" wrapText="1"/>
    </xf>
    <xf numFmtId="3" fontId="0" fillId="0" borderId="0" xfId="0" applyNumberFormat="1" applyFill="1" applyAlignment="1">
      <alignment/>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3" fontId="30"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3" fontId="30" fillId="26" borderId="11" xfId="0" applyNumberFormat="1" applyFont="1" applyFill="1" applyBorder="1" applyAlignment="1">
      <alignment horizontal="center" vertical="center" wrapText="1"/>
    </xf>
    <xf numFmtId="0" fontId="56" fillId="0" borderId="0" xfId="0" applyFont="1" applyAlignment="1">
      <alignment vertical="center" wrapText="1"/>
    </xf>
    <xf numFmtId="0" fontId="56" fillId="0" borderId="11" xfId="0" applyFont="1" applyBorder="1" applyAlignment="1">
      <alignment wrapText="1"/>
    </xf>
    <xf numFmtId="0" fontId="30" fillId="0" borderId="11" xfId="0" applyFont="1" applyFill="1" applyBorder="1" applyAlignment="1">
      <alignment wrapText="1"/>
    </xf>
    <xf numFmtId="0" fontId="30" fillId="0" borderId="11" xfId="0" applyFont="1" applyFill="1" applyBorder="1" applyAlignment="1">
      <alignment horizontal="left" vertical="center" wrapText="1" shrinkToFit="1"/>
    </xf>
    <xf numFmtId="0" fontId="30" fillId="0" borderId="11" xfId="0" applyFont="1" applyFill="1" applyBorder="1" applyAlignment="1">
      <alignment horizontal="left" vertical="center" wrapText="1"/>
    </xf>
    <xf numFmtId="0" fontId="30" fillId="0" borderId="13" xfId="0" applyFont="1" applyBorder="1" applyAlignment="1">
      <alignment horizontal="left" vertical="center" wrapText="1"/>
    </xf>
    <xf numFmtId="0" fontId="30" fillId="26" borderId="11" xfId="0" applyFont="1" applyFill="1" applyBorder="1" applyAlignment="1">
      <alignment horizontal="left" vertical="center" wrapText="1"/>
    </xf>
    <xf numFmtId="0" fontId="23" fillId="0" borderId="13" xfId="0" applyFont="1" applyFill="1" applyBorder="1" applyAlignment="1">
      <alignment horizontal="center" vertical="top" wrapText="1" shrinkToFit="1"/>
    </xf>
    <xf numFmtId="0" fontId="33" fillId="0" borderId="11" xfId="0" applyFont="1" applyFill="1" applyBorder="1" applyAlignment="1">
      <alignment horizontal="left" vertical="top" wrapText="1"/>
    </xf>
    <xf numFmtId="0" fontId="30" fillId="0" borderId="11" xfId="0" applyFont="1" applyFill="1" applyBorder="1" applyAlignment="1">
      <alignment horizontal="center" vertical="center" wrapText="1" shrinkToFit="1"/>
    </xf>
    <xf numFmtId="0" fontId="30" fillId="0" borderId="11" xfId="0" applyFont="1" applyFill="1" applyBorder="1" applyAlignment="1">
      <alignment horizontal="left" vertical="top" wrapText="1"/>
    </xf>
    <xf numFmtId="2" fontId="30" fillId="0" borderId="17" xfId="0" applyNumberFormat="1" applyFont="1" applyFill="1" applyBorder="1" applyAlignment="1">
      <alignment vertical="center" wrapText="1"/>
    </xf>
    <xf numFmtId="0" fontId="34" fillId="0" borderId="11" xfId="0" applyFont="1" applyFill="1" applyBorder="1" applyAlignment="1">
      <alignment vertical="top" wrapText="1"/>
    </xf>
    <xf numFmtId="0" fontId="23" fillId="0" borderId="11" xfId="0" applyFont="1" applyBorder="1" applyAlignment="1">
      <alignment horizontal="center" wrapText="1"/>
    </xf>
    <xf numFmtId="0" fontId="0" fillId="0" borderId="0" xfId="0" applyFill="1" applyBorder="1" applyAlignment="1">
      <alignment/>
    </xf>
    <xf numFmtId="0" fontId="31" fillId="26" borderId="0" xfId="0" applyFont="1" applyFill="1" applyBorder="1" applyAlignment="1">
      <alignment horizontal="center" vertical="top" wrapText="1" shrinkToFit="1"/>
    </xf>
    <xf numFmtId="0" fontId="23" fillId="26" borderId="0" xfId="0" applyFont="1" applyFill="1" applyBorder="1" applyAlignment="1">
      <alignment horizontal="left" vertical="top" wrapText="1" shrinkToFit="1"/>
    </xf>
    <xf numFmtId="0" fontId="23" fillId="0" borderId="13" xfId="0" applyFont="1" applyBorder="1" applyAlignment="1">
      <alignment horizontal="center" vertical="center" wrapText="1"/>
    </xf>
    <xf numFmtId="3" fontId="64" fillId="0" borderId="0" xfId="0" applyNumberFormat="1" applyFont="1" applyFill="1" applyAlignment="1">
      <alignment/>
    </xf>
    <xf numFmtId="0" fontId="64"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xf>
    <xf numFmtId="2" fontId="23" fillId="0" borderId="11" xfId="0" applyNumberFormat="1" applyFont="1" applyFill="1" applyBorder="1" applyAlignment="1">
      <alignment horizontal="left" vertical="top" wrapText="1" shrinkToFit="1"/>
    </xf>
    <xf numFmtId="0" fontId="30" fillId="26" borderId="11" xfId="0" applyFont="1" applyFill="1" applyBorder="1" applyAlignment="1">
      <alignment vertical="top" wrapText="1"/>
    </xf>
    <xf numFmtId="0" fontId="30" fillId="26" borderId="0" xfId="0" applyFont="1" applyFill="1" applyAlignment="1">
      <alignment vertical="center" wrapText="1"/>
    </xf>
    <xf numFmtId="3" fontId="0" fillId="26" borderId="0" xfId="0" applyNumberFormat="1" applyFill="1" applyAlignment="1">
      <alignment/>
    </xf>
    <xf numFmtId="0" fontId="0" fillId="26" borderId="0" xfId="0" applyFill="1" applyAlignment="1">
      <alignment/>
    </xf>
    <xf numFmtId="0" fontId="30" fillId="0" borderId="11" xfId="0" applyFont="1" applyFill="1" applyBorder="1" applyAlignment="1">
      <alignment vertical="top" wrapText="1"/>
    </xf>
    <xf numFmtId="3" fontId="30" fillId="0" borderId="11" xfId="0" applyNumberFormat="1" applyFont="1" applyFill="1" applyBorder="1" applyAlignment="1">
      <alignment horizontal="center" vertical="center"/>
    </xf>
    <xf numFmtId="0" fontId="30" fillId="0" borderId="11" xfId="0" applyFont="1" applyFill="1" applyBorder="1" applyAlignment="1">
      <alignment horizontal="justify" vertical="top" wrapText="1"/>
    </xf>
    <xf numFmtId="0" fontId="64" fillId="0" borderId="0" xfId="0" applyFont="1" applyFill="1" applyAlignment="1">
      <alignment/>
    </xf>
    <xf numFmtId="0" fontId="53" fillId="0" borderId="0" xfId="0" applyFont="1" applyFill="1" applyBorder="1" applyAlignment="1">
      <alignment/>
    </xf>
    <xf numFmtId="0" fontId="36" fillId="0" borderId="0" xfId="0" applyFont="1" applyFill="1" applyBorder="1" applyAlignment="1">
      <alignment wrapText="1"/>
    </xf>
    <xf numFmtId="0" fontId="65" fillId="0" borderId="0" xfId="0" applyFont="1" applyAlignment="1">
      <alignment horizontal="left"/>
    </xf>
    <xf numFmtId="0" fontId="54" fillId="0" borderId="0" xfId="0" applyFont="1" applyFill="1" applyAlignment="1">
      <alignment horizontal="right"/>
    </xf>
    <xf numFmtId="0" fontId="66" fillId="0" borderId="0" xfId="0" applyFont="1" applyFill="1" applyAlignment="1">
      <alignment horizontal="right"/>
    </xf>
    <xf numFmtId="0" fontId="66" fillId="0" borderId="0" xfId="0" applyFont="1" applyFill="1" applyAlignment="1">
      <alignment/>
    </xf>
    <xf numFmtId="0" fontId="0" fillId="0" borderId="0" xfId="0" applyFill="1" applyAlignment="1">
      <alignment horizontal="right"/>
    </xf>
    <xf numFmtId="3" fontId="36" fillId="0" borderId="0" xfId="0" applyNumberFormat="1" applyFont="1" applyBorder="1" applyAlignment="1">
      <alignment horizontal="center"/>
    </xf>
    <xf numFmtId="0" fontId="41" fillId="0" borderId="11" xfId="0" applyFont="1" applyBorder="1" applyAlignment="1">
      <alignment vertical="center" wrapText="1"/>
    </xf>
    <xf numFmtId="184" fontId="0" fillId="26" borderId="11" xfId="93" applyNumberFormat="1" applyFont="1" applyFill="1" applyBorder="1">
      <alignment vertical="top"/>
      <protection/>
    </xf>
    <xf numFmtId="0" fontId="6" fillId="0" borderId="13" xfId="0" applyFont="1" applyFill="1" applyBorder="1" applyAlignment="1">
      <alignment horizontal="center" vertical="center" wrapText="1"/>
    </xf>
    <xf numFmtId="0" fontId="0" fillId="0" borderId="11" xfId="0" applyFill="1" applyBorder="1" applyAlignment="1">
      <alignment/>
    </xf>
    <xf numFmtId="49" fontId="23" fillId="0" borderId="22" xfId="0" applyNumberFormat="1" applyFont="1" applyBorder="1" applyAlignment="1">
      <alignment horizontal="center" vertical="center" wrapText="1"/>
    </xf>
    <xf numFmtId="49" fontId="30" fillId="0" borderId="22" xfId="0" applyNumberFormat="1" applyFont="1" applyFill="1" applyBorder="1" applyAlignment="1">
      <alignment vertical="center"/>
    </xf>
    <xf numFmtId="0" fontId="30" fillId="0" borderId="22" xfId="0" applyFont="1" applyFill="1" applyBorder="1" applyAlignment="1">
      <alignment horizontal="center" vertical="top"/>
    </xf>
    <xf numFmtId="49" fontId="33" fillId="0" borderId="22" xfId="0" applyNumberFormat="1" applyFont="1" applyFill="1" applyBorder="1" applyAlignment="1">
      <alignment horizontal="center" vertical="top"/>
    </xf>
    <xf numFmtId="0" fontId="23" fillId="0" borderId="22" xfId="0" applyFont="1" applyFill="1" applyBorder="1" applyAlignment="1">
      <alignment horizontal="center" vertical="top"/>
    </xf>
    <xf numFmtId="49" fontId="33" fillId="0" borderId="22" xfId="0" applyNumberFormat="1" applyFont="1" applyFill="1" applyBorder="1" applyAlignment="1">
      <alignment horizontal="center" vertical="center"/>
    </xf>
    <xf numFmtId="1" fontId="30" fillId="0" borderId="22" xfId="0" applyNumberFormat="1" applyFont="1" applyFill="1" applyBorder="1" applyAlignment="1">
      <alignment horizontal="center" vertical="center"/>
    </xf>
    <xf numFmtId="49" fontId="30" fillId="0" borderId="22" xfId="0" applyNumberFormat="1" applyFont="1" applyBorder="1" applyAlignment="1">
      <alignment horizontal="center" vertical="center" wrapText="1"/>
    </xf>
    <xf numFmtId="49" fontId="23" fillId="0" borderId="22" xfId="0" applyNumberFormat="1" applyFont="1" applyBorder="1" applyAlignment="1">
      <alignment horizontal="center" vertical="top" wrapText="1"/>
    </xf>
    <xf numFmtId="0" fontId="30" fillId="0" borderId="22" xfId="0" applyFont="1" applyFill="1" applyBorder="1" applyAlignment="1">
      <alignment horizontal="center" vertical="center"/>
    </xf>
    <xf numFmtId="0" fontId="23" fillId="0" borderId="22" xfId="0" applyFont="1" applyFill="1" applyBorder="1" applyAlignment="1">
      <alignment horizontal="center" vertical="center"/>
    </xf>
    <xf numFmtId="0" fontId="33" fillId="26" borderId="22" xfId="0" applyFont="1" applyFill="1" applyBorder="1" applyAlignment="1">
      <alignment horizontal="center" vertical="top"/>
    </xf>
    <xf numFmtId="0" fontId="33" fillId="0" borderId="22" xfId="0" applyFont="1" applyFill="1" applyBorder="1" applyAlignment="1">
      <alignment horizontal="center" vertical="top"/>
    </xf>
    <xf numFmtId="0" fontId="23" fillId="0" borderId="22" xfId="0" applyFont="1" applyFill="1" applyBorder="1" applyAlignment="1">
      <alignment horizontal="left"/>
    </xf>
    <xf numFmtId="0" fontId="64" fillId="0" borderId="11" xfId="0" applyFont="1" applyFill="1" applyBorder="1" applyAlignment="1">
      <alignment/>
    </xf>
    <xf numFmtId="0" fontId="0" fillId="0" borderId="11" xfId="0" applyFont="1" applyFill="1" applyBorder="1" applyAlignment="1">
      <alignment/>
    </xf>
    <xf numFmtId="0" fontId="0" fillId="26" borderId="11" xfId="0" applyFill="1" applyBorder="1" applyAlignment="1">
      <alignment/>
    </xf>
    <xf numFmtId="0" fontId="64" fillId="0" borderId="11" xfId="0" applyFont="1" applyFill="1" applyBorder="1" applyAlignment="1">
      <alignment/>
    </xf>
    <xf numFmtId="49" fontId="0" fillId="0" borderId="11" xfId="0" applyNumberFormat="1" applyFill="1" applyBorder="1" applyAlignment="1">
      <alignment horizontal="center"/>
    </xf>
    <xf numFmtId="0" fontId="0" fillId="0" borderId="11" xfId="0" applyFill="1" applyBorder="1" applyAlignment="1">
      <alignment horizontal="center" vertical="center"/>
    </xf>
    <xf numFmtId="49" fontId="0" fillId="0" borderId="22" xfId="0" applyNumberFormat="1" applyFont="1" applyFill="1" applyBorder="1" applyAlignment="1">
      <alignment horizontal="center" vertical="center"/>
    </xf>
    <xf numFmtId="0" fontId="5" fillId="0" borderId="11" xfId="0" applyFont="1" applyFill="1" applyBorder="1" applyAlignment="1">
      <alignment horizontal="center" vertical="top" wrapText="1" shrinkToFit="1"/>
    </xf>
    <xf numFmtId="0" fontId="0"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top" wrapText="1" shrinkToFit="1"/>
    </xf>
    <xf numFmtId="0" fontId="0"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top" wrapText="1" shrinkToFit="1"/>
    </xf>
    <xf numFmtId="0" fontId="0" fillId="0" borderId="11" xfId="0" applyFont="1" applyFill="1" applyBorder="1" applyAlignment="1">
      <alignment vertical="top" wrapText="1"/>
    </xf>
    <xf numFmtId="3" fontId="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0" fontId="0" fillId="0" borderId="11" xfId="0" applyFont="1" applyBorder="1" applyAlignment="1">
      <alignment horizontal="center" wrapText="1"/>
    </xf>
    <xf numFmtId="3" fontId="0" fillId="0" borderId="11" xfId="0" applyNumberFormat="1" applyFont="1" applyFill="1" applyBorder="1" applyAlignment="1">
      <alignment horizontal="center" vertical="center" wrapText="1"/>
    </xf>
    <xf numFmtId="0" fontId="0" fillId="0" borderId="11" xfId="0" applyFont="1" applyFill="1" applyBorder="1" applyAlignment="1">
      <alignment/>
    </xf>
    <xf numFmtId="49" fontId="5" fillId="0" borderId="22" xfId="0" applyNumberFormat="1" applyFont="1" applyFill="1" applyBorder="1" applyAlignment="1">
      <alignment horizontal="center" vertical="center" wrapText="1"/>
    </xf>
    <xf numFmtId="0" fontId="5" fillId="0" borderId="11" xfId="0" applyFont="1"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11" xfId="0" applyFont="1" applyFill="1" applyBorder="1" applyAlignment="1">
      <alignment/>
    </xf>
    <xf numFmtId="49" fontId="0" fillId="0" borderId="22"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3" fontId="0" fillId="26" borderId="11" xfId="0" applyNumberFormat="1" applyFont="1" applyFill="1" applyBorder="1" applyAlignment="1">
      <alignment horizontal="center" vertical="center" wrapText="1"/>
    </xf>
    <xf numFmtId="0" fontId="23" fillId="0" borderId="26" xfId="0" applyFont="1" applyFill="1" applyBorder="1" applyAlignment="1">
      <alignment horizontal="center" vertical="top"/>
    </xf>
    <xf numFmtId="0" fontId="0" fillId="0" borderId="11" xfId="0" applyFont="1" applyBorder="1" applyAlignment="1">
      <alignment vertical="center" wrapText="1"/>
    </xf>
    <xf numFmtId="3"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1" fontId="0" fillId="0" borderId="22" xfId="0" applyNumberFormat="1" applyFont="1" applyFill="1" applyBorder="1" applyAlignment="1">
      <alignment horizontal="center" vertical="center"/>
    </xf>
    <xf numFmtId="2" fontId="41" fillId="0" borderId="11" xfId="0" applyNumberFormat="1" applyFont="1" applyBorder="1" applyAlignment="1">
      <alignment vertical="center" wrapText="1"/>
    </xf>
    <xf numFmtId="0" fontId="0" fillId="0" borderId="11" xfId="0" applyFont="1" applyFill="1" applyBorder="1" applyAlignment="1">
      <alignment horizontal="left" vertical="center" wrapText="1"/>
    </xf>
    <xf numFmtId="2" fontId="0" fillId="0" borderId="13" xfId="0" applyNumberFormat="1" applyFont="1" applyFill="1" applyBorder="1" applyAlignment="1">
      <alignment horizontal="left" vertical="center" wrapText="1" shrinkToFit="1"/>
    </xf>
    <xf numFmtId="1" fontId="0" fillId="0" borderId="22" xfId="0" applyNumberFormat="1" applyFont="1" applyBorder="1" applyAlignment="1">
      <alignment horizontal="center" vertical="center" wrapText="1"/>
    </xf>
    <xf numFmtId="2" fontId="0" fillId="0" borderId="11" xfId="0" applyNumberFormat="1" applyFont="1" applyBorder="1" applyAlignment="1">
      <alignment horizontal="justify" vertical="center" wrapText="1"/>
    </xf>
    <xf numFmtId="2" fontId="41" fillId="0" borderId="11" xfId="0" applyNumberFormat="1" applyFont="1" applyBorder="1" applyAlignment="1">
      <alignment horizontal="left" vertical="center" wrapText="1"/>
    </xf>
    <xf numFmtId="49" fontId="0" fillId="0" borderId="22" xfId="0" applyNumberFormat="1" applyFont="1" applyBorder="1" applyAlignment="1">
      <alignment horizontal="center" vertical="center" wrapText="1"/>
    </xf>
    <xf numFmtId="2" fontId="0" fillId="26" borderId="11" xfId="0" applyNumberFormat="1" applyFont="1" applyFill="1" applyBorder="1" applyAlignment="1">
      <alignment horizontal="justify" vertical="center" wrapText="1" shrinkToFit="1"/>
    </xf>
    <xf numFmtId="3" fontId="0" fillId="26" borderId="11" xfId="0" applyNumberFormat="1" applyFont="1" applyFill="1" applyBorder="1" applyAlignment="1">
      <alignment horizontal="center" vertical="center" wrapText="1"/>
    </xf>
    <xf numFmtId="2" fontId="0" fillId="26" borderId="11" xfId="0" applyNumberFormat="1" applyFont="1" applyFill="1" applyBorder="1" applyAlignment="1">
      <alignment horizontal="left" vertical="center" wrapText="1" shrinkToFit="1"/>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5" fillId="0" borderId="11" xfId="0" applyFont="1" applyFill="1" applyBorder="1" applyAlignment="1">
      <alignment vertical="top" wrapText="1"/>
    </xf>
    <xf numFmtId="49" fontId="0" fillId="0" borderId="22" xfId="0" applyNumberFormat="1" applyFont="1" applyFill="1" applyBorder="1" applyAlignment="1">
      <alignment horizontal="center" vertical="center" wrapText="1"/>
    </xf>
    <xf numFmtId="0" fontId="0" fillId="0" borderId="11" xfId="0" applyFont="1" applyFill="1" applyBorder="1" applyAlignment="1">
      <alignment horizontal="center" vertical="top" wrapText="1"/>
    </xf>
    <xf numFmtId="0" fontId="41" fillId="0" borderId="11" xfId="0" applyFont="1" applyFill="1" applyBorder="1" applyAlignment="1">
      <alignment horizontal="center" vertical="top" wrapText="1"/>
    </xf>
    <xf numFmtId="0" fontId="0" fillId="0" borderId="11" xfId="0" applyFont="1" applyBorder="1" applyAlignment="1">
      <alignment horizontal="center" vertical="center" wrapText="1"/>
    </xf>
    <xf numFmtId="0" fontId="0" fillId="0" borderId="11" xfId="0" applyFont="1" applyBorder="1" applyAlignment="1">
      <alignment horizontal="center" wrapText="1"/>
    </xf>
    <xf numFmtId="0" fontId="5" fillId="26" borderId="17" xfId="0" applyFont="1" applyFill="1" applyBorder="1" applyAlignment="1">
      <alignment horizontal="left" vertical="top" wrapText="1" shrinkToFit="1"/>
    </xf>
    <xf numFmtId="0" fontId="0" fillId="0" borderId="13" xfId="0" applyFont="1" applyBorder="1" applyAlignment="1">
      <alignment horizontal="center" vertical="center" wrapText="1"/>
    </xf>
    <xf numFmtId="0" fontId="5" fillId="26" borderId="17" xfId="0" applyFont="1" applyFill="1" applyBorder="1" applyAlignment="1">
      <alignment horizontal="left" vertical="top" wrapText="1" shrinkToFit="1"/>
    </xf>
    <xf numFmtId="0" fontId="0" fillId="0" borderId="13" xfId="0" applyFont="1" applyBorder="1" applyAlignment="1">
      <alignment horizontal="center" vertical="center" wrapText="1"/>
    </xf>
    <xf numFmtId="0" fontId="5" fillId="0" borderId="11" xfId="0" applyFont="1" applyFill="1" applyBorder="1" applyAlignment="1">
      <alignment horizontal="center"/>
    </xf>
    <xf numFmtId="0" fontId="5" fillId="0" borderId="11" xfId="0" applyFont="1" applyFill="1" applyBorder="1" applyAlignment="1">
      <alignment horizontal="left"/>
    </xf>
    <xf numFmtId="3" fontId="5" fillId="0" borderId="11" xfId="0" applyNumberFormat="1" applyFont="1" applyFill="1" applyBorder="1" applyAlignment="1">
      <alignment horizontal="center" vertical="center"/>
    </xf>
    <xf numFmtId="0" fontId="33" fillId="0" borderId="0" xfId="0" applyFont="1" applyAlignment="1">
      <alignment/>
    </xf>
    <xf numFmtId="0" fontId="0" fillId="0" borderId="0" xfId="0" applyFont="1" applyBorder="1" applyAlignment="1">
      <alignment/>
    </xf>
    <xf numFmtId="0" fontId="33" fillId="0" borderId="0" xfId="0" applyFont="1" applyFill="1" applyBorder="1" applyAlignment="1">
      <alignment horizontal="center"/>
    </xf>
    <xf numFmtId="0" fontId="33" fillId="0" borderId="0" xfId="0" applyFont="1" applyFill="1" applyBorder="1" applyAlignment="1">
      <alignment/>
    </xf>
    <xf numFmtId="0" fontId="0" fillId="0" borderId="0" xfId="0" applyFont="1" applyFill="1" applyAlignment="1">
      <alignment/>
    </xf>
    <xf numFmtId="0" fontId="0" fillId="0" borderId="17" xfId="0" applyFont="1" applyBorder="1" applyAlignment="1">
      <alignment vertical="center" wrapText="1"/>
    </xf>
    <xf numFmtId="0" fontId="33" fillId="26" borderId="17" xfId="0" applyFont="1" applyFill="1" applyBorder="1" applyAlignment="1">
      <alignment vertical="center" wrapText="1"/>
    </xf>
    <xf numFmtId="0" fontId="0" fillId="26" borderId="11" xfId="0" applyFont="1" applyFill="1" applyBorder="1" applyAlignment="1">
      <alignment vertical="center" wrapText="1"/>
    </xf>
    <xf numFmtId="49" fontId="0" fillId="0" borderId="11" xfId="0" applyNumberFormat="1" applyFill="1" applyBorder="1" applyAlignment="1">
      <alignment horizontal="center" vertic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26" borderId="11" xfId="0" applyFont="1" applyFill="1" applyBorder="1" applyAlignment="1">
      <alignment horizontal="left" vertical="top" wrapText="1" shrinkToFit="1"/>
    </xf>
    <xf numFmtId="3" fontId="33" fillId="0" borderId="11" xfId="0" applyNumberFormat="1" applyFont="1" applyBorder="1" applyAlignment="1">
      <alignment horizontal="center" vertical="center" wrapText="1"/>
    </xf>
    <xf numFmtId="0" fontId="5" fillId="26" borderId="0" xfId="0" applyNumberFormat="1" applyFont="1" applyFill="1" applyAlignment="1" applyProtection="1">
      <alignment/>
      <protection/>
    </xf>
    <xf numFmtId="0" fontId="5" fillId="26" borderId="0" xfId="0" applyFont="1" applyFill="1" applyAlignment="1">
      <alignment/>
    </xf>
    <xf numFmtId="3" fontId="33" fillId="0" borderId="11" xfId="0" applyNumberFormat="1" applyFont="1" applyBorder="1" applyAlignment="1">
      <alignment horizontal="center" wrapText="1"/>
    </xf>
    <xf numFmtId="3" fontId="31" fillId="0" borderId="11" xfId="0" applyNumberFormat="1" applyFont="1" applyBorder="1" applyAlignment="1">
      <alignment horizontal="center" wrapText="1"/>
    </xf>
    <xf numFmtId="1" fontId="33" fillId="0" borderId="11" xfId="0" applyNumberFormat="1" applyFont="1" applyFill="1" applyBorder="1" applyAlignment="1">
      <alignment horizontal="center" vertical="center"/>
    </xf>
    <xf numFmtId="3" fontId="23" fillId="0" borderId="0" xfId="0" applyNumberFormat="1" applyFont="1" applyBorder="1" applyAlignment="1">
      <alignment horizontal="center" wrapText="1"/>
    </xf>
    <xf numFmtId="0" fontId="33" fillId="0" borderId="11" xfId="0" applyFont="1" applyBorder="1" applyAlignment="1">
      <alignment horizontal="center" vertical="center" wrapText="1"/>
    </xf>
    <xf numFmtId="3" fontId="31" fillId="0" borderId="11" xfId="0" applyNumberFormat="1" applyFont="1" applyBorder="1" applyAlignment="1">
      <alignment horizontal="center"/>
    </xf>
    <xf numFmtId="0" fontId="34" fillId="26" borderId="21" xfId="0" applyFont="1" applyFill="1" applyBorder="1" applyAlignment="1">
      <alignment horizontal="left" vertical="center" wrapText="1"/>
    </xf>
    <xf numFmtId="0" fontId="53" fillId="0" borderId="0" xfId="0" applyFont="1" applyAlignment="1">
      <alignment horizontal="right"/>
    </xf>
    <xf numFmtId="0" fontId="36" fillId="0" borderId="0" xfId="0" applyFont="1" applyAlignment="1">
      <alignment/>
    </xf>
    <xf numFmtId="0" fontId="66" fillId="0" borderId="0" xfId="0" applyFont="1" applyAlignment="1">
      <alignment horizontal="right"/>
    </xf>
    <xf numFmtId="0" fontId="0" fillId="0" borderId="0" xfId="0" applyBorder="1" applyAlignment="1">
      <alignment/>
    </xf>
    <xf numFmtId="0" fontId="36" fillId="0" borderId="0" xfId="0" applyFont="1" applyBorder="1" applyAlignment="1">
      <alignment horizontal="right"/>
    </xf>
    <xf numFmtId="0" fontId="69" fillId="0" borderId="11" xfId="0" applyFont="1" applyBorder="1" applyAlignment="1">
      <alignment horizontal="center" vertical="center"/>
    </xf>
    <xf numFmtId="0" fontId="69" fillId="0" borderId="11" xfId="0" applyFont="1" applyBorder="1" applyAlignment="1">
      <alignment horizontal="center" vertical="center" wrapText="1"/>
    </xf>
    <xf numFmtId="0" fontId="36" fillId="0" borderId="11" xfId="0" applyFont="1" applyBorder="1" applyAlignment="1">
      <alignment horizontal="center"/>
    </xf>
    <xf numFmtId="0" fontId="36" fillId="0" borderId="11" xfId="0" applyFont="1" applyFill="1" applyBorder="1" applyAlignment="1">
      <alignment horizontal="center" vertical="center"/>
    </xf>
    <xf numFmtId="0" fontId="68" fillId="0" borderId="11" xfId="0" applyFont="1" applyFill="1" applyBorder="1" applyAlignment="1">
      <alignment horizontal="center" vertical="top" wrapText="1"/>
    </xf>
    <xf numFmtId="0" fontId="68" fillId="0" borderId="11" xfId="0" applyFont="1" applyFill="1" applyBorder="1" applyAlignment="1">
      <alignment vertical="top" wrapText="1"/>
    </xf>
    <xf numFmtId="0" fontId="70" fillId="0" borderId="11" xfId="0" applyFont="1" applyBorder="1" applyAlignment="1">
      <alignment horizontal="center" vertical="top" wrapText="1"/>
    </xf>
    <xf numFmtId="0" fontId="70" fillId="0" borderId="11" xfId="0" applyFont="1" applyBorder="1" applyAlignment="1">
      <alignment vertical="top" wrapText="1"/>
    </xf>
    <xf numFmtId="3" fontId="71" fillId="0" borderId="11" xfId="0" applyNumberFormat="1" applyFont="1" applyBorder="1" applyAlignment="1">
      <alignment horizontal="center"/>
    </xf>
    <xf numFmtId="0" fontId="72" fillId="0" borderId="11" xfId="0" applyFont="1" applyBorder="1" applyAlignment="1">
      <alignment horizontal="center" vertical="top" wrapText="1"/>
    </xf>
    <xf numFmtId="0" fontId="72" fillId="0" borderId="11" xfId="0" applyFont="1" applyBorder="1" applyAlignment="1">
      <alignment vertical="top" wrapText="1"/>
    </xf>
    <xf numFmtId="4" fontId="0" fillId="0" borderId="0" xfId="0" applyNumberFormat="1" applyAlignment="1">
      <alignment/>
    </xf>
    <xf numFmtId="0" fontId="68" fillId="0" borderId="11" xfId="0" applyFont="1" applyFill="1" applyBorder="1" applyAlignment="1">
      <alignment vertical="top" wrapText="1"/>
    </xf>
    <xf numFmtId="0" fontId="68" fillId="0" borderId="11" xfId="0" applyFont="1" applyBorder="1" applyAlignment="1">
      <alignment horizontal="center" vertical="top" wrapText="1"/>
    </xf>
    <xf numFmtId="0" fontId="73" fillId="0" borderId="0" xfId="0" applyFont="1" applyBorder="1" applyAlignment="1">
      <alignment horizontal="center" vertical="top" wrapText="1"/>
    </xf>
    <xf numFmtId="0" fontId="73" fillId="0" borderId="0" xfId="0" applyFont="1" applyBorder="1" applyAlignment="1">
      <alignment vertical="top" wrapText="1"/>
    </xf>
    <xf numFmtId="187" fontId="53" fillId="0" borderId="0" xfId="0" applyNumberFormat="1" applyFont="1" applyBorder="1" applyAlignment="1">
      <alignment/>
    </xf>
    <xf numFmtId="0" fontId="65" fillId="0" borderId="0" xfId="0" applyFont="1" applyBorder="1" applyAlignment="1">
      <alignment horizontal="left"/>
    </xf>
    <xf numFmtId="0" fontId="8" fillId="0" borderId="0" xfId="0" applyFont="1" applyBorder="1" applyAlignment="1">
      <alignment/>
    </xf>
    <xf numFmtId="0" fontId="74" fillId="0" borderId="0" xfId="0" applyFont="1" applyAlignment="1">
      <alignment/>
    </xf>
    <xf numFmtId="0" fontId="36" fillId="0" borderId="27" xfId="0" applyFont="1" applyBorder="1" applyAlignment="1">
      <alignment/>
    </xf>
    <xf numFmtId="0" fontId="30" fillId="0" borderId="21" xfId="0" applyFont="1" applyBorder="1" applyAlignment="1">
      <alignment horizontal="justify" vertical="top" wrapText="1"/>
    </xf>
    <xf numFmtId="3" fontId="36" fillId="0" borderId="21" xfId="115" applyNumberFormat="1" applyFont="1" applyBorder="1" applyAlignment="1">
      <alignment horizontal="center"/>
    </xf>
    <xf numFmtId="0" fontId="0" fillId="0" borderId="26" xfId="0" applyBorder="1" applyAlignment="1">
      <alignment horizontal="center"/>
    </xf>
    <xf numFmtId="0" fontId="36" fillId="0" borderId="28" xfId="0" applyFont="1" applyBorder="1" applyAlignment="1">
      <alignment/>
    </xf>
    <xf numFmtId="0" fontId="30" fillId="0" borderId="28" xfId="0" applyFont="1" applyBorder="1" applyAlignment="1">
      <alignment horizontal="justify" vertical="top" wrapText="1"/>
    </xf>
    <xf numFmtId="3" fontId="36" fillId="0" borderId="28" xfId="115" applyNumberFormat="1" applyFont="1" applyBorder="1" applyAlignment="1">
      <alignment horizontal="center"/>
    </xf>
    <xf numFmtId="3" fontId="8" fillId="0" borderId="25" xfId="0" applyNumberFormat="1" applyFont="1" applyBorder="1" applyAlignment="1">
      <alignment horizontal="center" wrapText="1"/>
    </xf>
    <xf numFmtId="3" fontId="23" fillId="0" borderId="25" xfId="0" applyNumberFormat="1" applyFont="1" applyBorder="1" applyAlignment="1">
      <alignment horizontal="center" wrapText="1"/>
    </xf>
    <xf numFmtId="49" fontId="0" fillId="0" borderId="22" xfId="0" applyNumberFormat="1" applyFont="1" applyFill="1" applyBorder="1" applyAlignment="1">
      <alignment horizontal="center" vertical="center"/>
    </xf>
    <xf numFmtId="0" fontId="0"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40" fillId="0" borderId="11" xfId="0" applyFont="1" applyFill="1" applyBorder="1" applyAlignment="1">
      <alignment vertical="top" wrapText="1"/>
    </xf>
    <xf numFmtId="49" fontId="0" fillId="0" borderId="22" xfId="0" applyNumberFormat="1" applyFont="1" applyFill="1" applyBorder="1" applyAlignment="1">
      <alignment horizontal="center" vertical="top"/>
    </xf>
    <xf numFmtId="49" fontId="30" fillId="0" borderId="11"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5" fillId="0" borderId="17"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3" fontId="5" fillId="26" borderId="11" xfId="0" applyNumberFormat="1" applyFont="1" applyFill="1" applyBorder="1" applyAlignment="1">
      <alignment horizontal="center" vertical="center" wrapText="1"/>
    </xf>
    <xf numFmtId="0" fontId="0" fillId="26" borderId="11" xfId="0" applyFont="1" applyFill="1" applyBorder="1" applyAlignment="1">
      <alignment vertical="top" wrapText="1"/>
    </xf>
    <xf numFmtId="0" fontId="0" fillId="0" borderId="11" xfId="0" applyFont="1" applyFill="1" applyBorder="1" applyAlignment="1">
      <alignment vertical="top" wrapText="1"/>
    </xf>
    <xf numFmtId="3" fontId="36" fillId="26" borderId="11" xfId="0" applyNumberFormat="1" applyFont="1" applyFill="1" applyBorder="1" applyAlignment="1">
      <alignment horizontal="center"/>
    </xf>
    <xf numFmtId="0" fontId="0" fillId="26" borderId="11" xfId="0" applyFont="1" applyFill="1" applyBorder="1" applyAlignment="1">
      <alignment horizontal="left" vertical="top" wrapText="1"/>
    </xf>
    <xf numFmtId="3" fontId="31" fillId="0" borderId="21" xfId="0" applyNumberFormat="1" applyFont="1" applyBorder="1" applyAlignment="1">
      <alignment horizontal="center"/>
    </xf>
    <xf numFmtId="3" fontId="31" fillId="0" borderId="17" xfId="115" applyNumberFormat="1" applyFont="1" applyBorder="1" applyAlignment="1">
      <alignment horizontal="center"/>
    </xf>
    <xf numFmtId="3" fontId="33" fillId="0" borderId="21" xfId="115" applyNumberFormat="1" applyFont="1" applyBorder="1" applyAlignment="1">
      <alignment horizontal="center"/>
    </xf>
    <xf numFmtId="3" fontId="31" fillId="0" borderId="17" xfId="0" applyNumberFormat="1" applyFont="1" applyBorder="1" applyAlignment="1">
      <alignment horizontal="center"/>
    </xf>
    <xf numFmtId="3" fontId="33" fillId="0" borderId="17" xfId="115" applyNumberFormat="1" applyFont="1" applyBorder="1" applyAlignment="1">
      <alignment horizontal="center" wrapText="1"/>
    </xf>
    <xf numFmtId="3" fontId="33" fillId="0" borderId="11" xfId="115" applyNumberFormat="1" applyFont="1" applyBorder="1" applyAlignment="1">
      <alignment horizontal="center" wrapText="1"/>
    </xf>
    <xf numFmtId="4" fontId="8" fillId="0" borderId="11" xfId="0" applyNumberFormat="1" applyFont="1" applyBorder="1" applyAlignment="1">
      <alignment horizontal="center"/>
    </xf>
    <xf numFmtId="0" fontId="0" fillId="26" borderId="21" xfId="0" applyFont="1" applyFill="1" applyBorder="1" applyAlignment="1">
      <alignment horizontal="left" vertical="center" wrapText="1"/>
    </xf>
    <xf numFmtId="0" fontId="33" fillId="0" borderId="29" xfId="0" applyFont="1" applyFill="1" applyBorder="1" applyAlignment="1">
      <alignment horizontal="left" wrapText="1"/>
    </xf>
    <xf numFmtId="1" fontId="33" fillId="0" borderId="29" xfId="100" applyNumberFormat="1" applyFont="1" applyFill="1" applyBorder="1" applyAlignment="1">
      <alignment horizontal="center" vertical="center" wrapText="1"/>
      <protection/>
    </xf>
    <xf numFmtId="1" fontId="33" fillId="0" borderId="29" xfId="0" applyNumberFormat="1" applyFont="1" applyFill="1" applyBorder="1" applyAlignment="1">
      <alignment horizontal="center" vertical="center"/>
    </xf>
    <xf numFmtId="3" fontId="33" fillId="0" borderId="13" xfId="0" applyNumberFormat="1" applyFont="1" applyBorder="1" applyAlignment="1">
      <alignment horizontal="center" wrapText="1"/>
    </xf>
    <xf numFmtId="3" fontId="33" fillId="0" borderId="13" xfId="115" applyNumberFormat="1" applyFont="1" applyBorder="1" applyAlignment="1">
      <alignment horizontal="center"/>
    </xf>
    <xf numFmtId="3" fontId="33" fillId="0" borderId="29" xfId="115" applyNumberFormat="1" applyFont="1" applyBorder="1" applyAlignment="1">
      <alignment horizontal="center" vertical="center" wrapText="1"/>
    </xf>
    <xf numFmtId="3" fontId="33" fillId="0" borderId="29" xfId="0" applyNumberFormat="1" applyFont="1" applyBorder="1" applyAlignment="1">
      <alignment horizontal="center"/>
    </xf>
    <xf numFmtId="49" fontId="0" fillId="0" borderId="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30" fillId="0" borderId="30" xfId="0" applyFont="1" applyBorder="1" applyAlignment="1">
      <alignment horizontal="left" wrapText="1"/>
    </xf>
    <xf numFmtId="3" fontId="31" fillId="0" borderId="31" xfId="115" applyNumberFormat="1" applyFont="1" applyBorder="1" applyAlignment="1">
      <alignment horizontal="center"/>
    </xf>
    <xf numFmtId="3" fontId="23" fillId="0" borderId="32" xfId="0" applyNumberFormat="1" applyFont="1" applyBorder="1" applyAlignment="1">
      <alignment horizontal="center" wrapText="1"/>
    </xf>
    <xf numFmtId="3" fontId="33" fillId="0" borderId="29" xfId="0" applyNumberFormat="1" applyFont="1" applyBorder="1" applyAlignment="1">
      <alignment horizontal="center" wrapText="1"/>
    </xf>
    <xf numFmtId="3" fontId="36" fillId="0" borderId="11" xfId="0" applyNumberFormat="1" applyFont="1" applyBorder="1" applyAlignment="1">
      <alignment horizontal="center" wrapText="1"/>
    </xf>
    <xf numFmtId="0" fontId="0" fillId="0" borderId="11" xfId="0" applyFont="1" applyFill="1" applyBorder="1" applyAlignment="1">
      <alignment wrapText="1"/>
    </xf>
    <xf numFmtId="0" fontId="0" fillId="0" borderId="13" xfId="0" applyBorder="1" applyAlignment="1">
      <alignment horizontal="left" vertical="center" wrapText="1"/>
    </xf>
    <xf numFmtId="0" fontId="0" fillId="0" borderId="29" xfId="0" applyBorder="1" applyAlignment="1">
      <alignment horizontal="left" vertical="center" wrapText="1"/>
    </xf>
    <xf numFmtId="0" fontId="41" fillId="0" borderId="11" xfId="0" applyFont="1" applyFill="1" applyBorder="1" applyAlignment="1">
      <alignment vertical="top" wrapText="1"/>
    </xf>
    <xf numFmtId="4" fontId="41" fillId="0" borderId="11" xfId="0" applyNumberFormat="1" applyFont="1" applyBorder="1" applyAlignment="1">
      <alignment horizontal="center" vertical="center" wrapText="1"/>
    </xf>
    <xf numFmtId="4" fontId="41" fillId="0" borderId="11" xfId="0" applyNumberFormat="1" applyFont="1" applyBorder="1" applyAlignment="1">
      <alignment vertical="center" wrapText="1"/>
    </xf>
    <xf numFmtId="4" fontId="5" fillId="0" borderId="11" xfId="0" applyNumberFormat="1" applyFont="1" applyFill="1" applyBorder="1" applyAlignment="1" applyProtection="1">
      <alignment horizontal="right" vertical="center" wrapText="1"/>
      <protection/>
    </xf>
    <xf numFmtId="4" fontId="52" fillId="26" borderId="11" xfId="0" applyNumberFormat="1" applyFont="1" applyFill="1" applyBorder="1" applyAlignment="1">
      <alignment vertical="justify"/>
    </xf>
    <xf numFmtId="4" fontId="33" fillId="0" borderId="11" xfId="115" applyNumberFormat="1" applyFont="1" applyBorder="1" applyAlignment="1">
      <alignment horizontal="center"/>
    </xf>
    <xf numFmtId="4" fontId="33" fillId="0" borderId="29" xfId="115" applyNumberFormat="1" applyFont="1" applyBorder="1" applyAlignment="1">
      <alignment horizontal="center"/>
    </xf>
    <xf numFmtId="4" fontId="31" fillId="0" borderId="11" xfId="115" applyNumberFormat="1" applyFont="1" applyBorder="1" applyAlignment="1">
      <alignment horizontal="center"/>
    </xf>
    <xf numFmtId="4" fontId="23" fillId="0" borderId="11" xfId="0" applyNumberFormat="1" applyFont="1" applyBorder="1" applyAlignment="1">
      <alignment horizontal="center" wrapText="1"/>
    </xf>
    <xf numFmtId="3" fontId="30" fillId="0" borderId="11" xfId="0" applyNumberFormat="1" applyFont="1" applyBorder="1" applyAlignment="1">
      <alignment horizontal="center"/>
    </xf>
    <xf numFmtId="3" fontId="30" fillId="0" borderId="11" xfId="0" applyNumberFormat="1" applyFont="1" applyBorder="1" applyAlignment="1">
      <alignment/>
    </xf>
    <xf numFmtId="1" fontId="30" fillId="0" borderId="11" xfId="0" applyNumberFormat="1" applyFont="1" applyBorder="1" applyAlignment="1">
      <alignment horizontal="center"/>
    </xf>
    <xf numFmtId="3" fontId="30" fillId="0" borderId="11" xfId="0" applyNumberFormat="1" applyFont="1" applyFill="1" applyBorder="1" applyAlignment="1">
      <alignment horizontal="center"/>
    </xf>
    <xf numFmtId="3" fontId="30" fillId="0" borderId="11" xfId="115" applyNumberFormat="1" applyFont="1" applyBorder="1" applyAlignment="1">
      <alignment horizontal="center"/>
    </xf>
    <xf numFmtId="3" fontId="30" fillId="0" borderId="17" xfId="0" applyNumberFormat="1" applyFont="1" applyBorder="1" applyAlignment="1">
      <alignment horizontal="center"/>
    </xf>
    <xf numFmtId="3" fontId="30" fillId="0" borderId="17" xfId="0" applyNumberFormat="1" applyFont="1" applyFill="1" applyBorder="1" applyAlignment="1">
      <alignment horizontal="center"/>
    </xf>
    <xf numFmtId="3" fontId="30" fillId="0" borderId="21" xfId="115" applyNumberFormat="1" applyFont="1" applyBorder="1" applyAlignment="1">
      <alignment horizontal="center"/>
    </xf>
    <xf numFmtId="3" fontId="30" fillId="0" borderId="21" xfId="0" applyNumberFormat="1" applyFont="1" applyBorder="1" applyAlignment="1">
      <alignment horizontal="center"/>
    </xf>
    <xf numFmtId="3" fontId="30" fillId="0" borderId="21" xfId="0" applyNumberFormat="1" applyFont="1" applyFill="1" applyBorder="1" applyAlignment="1">
      <alignment horizontal="center"/>
    </xf>
    <xf numFmtId="3" fontId="30" fillId="0" borderId="28" xfId="115" applyNumberFormat="1" applyFont="1" applyBorder="1" applyAlignment="1">
      <alignment horizontal="center"/>
    </xf>
    <xf numFmtId="3" fontId="30" fillId="0" borderId="28" xfId="0" applyNumberFormat="1" applyFont="1" applyBorder="1" applyAlignment="1">
      <alignment horizontal="center"/>
    </xf>
    <xf numFmtId="3" fontId="30" fillId="0" borderId="28" xfId="0" applyNumberFormat="1" applyFont="1" applyFill="1" applyBorder="1" applyAlignment="1">
      <alignment horizontal="center"/>
    </xf>
    <xf numFmtId="184" fontId="30" fillId="0" borderId="11" xfId="0" applyNumberFormat="1" applyFont="1" applyBorder="1" applyAlignment="1">
      <alignment horizontal="center"/>
    </xf>
    <xf numFmtId="3" fontId="23" fillId="0" borderId="24" xfId="0" applyNumberFormat="1" applyFont="1" applyBorder="1" applyAlignment="1">
      <alignment horizontal="center" wrapText="1"/>
    </xf>
    <xf numFmtId="184" fontId="23" fillId="0" borderId="24" xfId="0" applyNumberFormat="1" applyFont="1" applyBorder="1" applyAlignment="1">
      <alignment horizontal="center" wrapText="1"/>
    </xf>
    <xf numFmtId="184" fontId="23" fillId="0" borderId="25" xfId="0" applyNumberFormat="1" applyFont="1" applyBorder="1" applyAlignment="1">
      <alignment horizontal="center" wrapText="1"/>
    </xf>
    <xf numFmtId="184" fontId="0" fillId="0" borderId="11" xfId="0" applyNumberFormat="1" applyFont="1" applyFill="1" applyBorder="1" applyAlignment="1">
      <alignment horizontal="center" vertical="center" wrapText="1"/>
    </xf>
    <xf numFmtId="184" fontId="5" fillId="0" borderId="11" xfId="0" applyNumberFormat="1" applyFont="1" applyFill="1" applyBorder="1" applyAlignment="1">
      <alignment horizontal="center" vertical="center"/>
    </xf>
    <xf numFmtId="184" fontId="5" fillId="0" borderId="11" xfId="0" applyNumberFormat="1"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4" fontId="31" fillId="0" borderId="21" xfId="115" applyNumberFormat="1" applyFont="1" applyBorder="1" applyAlignment="1">
      <alignment horizontal="center"/>
    </xf>
    <xf numFmtId="4"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center" vertical="center" wrapText="1"/>
      <protection/>
    </xf>
    <xf numFmtId="3" fontId="0" fillId="0" borderId="0" xfId="0" applyNumberFormat="1" applyAlignment="1">
      <alignment/>
    </xf>
    <xf numFmtId="3" fontId="36" fillId="0" borderId="13" xfId="0" applyNumberFormat="1" applyFont="1" applyFill="1" applyBorder="1" applyAlignment="1">
      <alignment horizontal="center" vertical="top" wrapText="1"/>
    </xf>
    <xf numFmtId="0" fontId="0" fillId="26" borderId="11" xfId="0" applyNumberFormat="1" applyFont="1" applyFill="1" applyBorder="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53" fillId="0" borderId="0" xfId="0" applyFont="1" applyBorder="1" applyAlignment="1">
      <alignment horizontal="left" wrapText="1"/>
    </xf>
    <xf numFmtId="0" fontId="0" fillId="0" borderId="0" xfId="0" applyFont="1" applyAlignment="1">
      <alignment/>
    </xf>
    <xf numFmtId="0" fontId="30" fillId="0" borderId="1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1" xfId="0" applyFont="1" applyBorder="1" applyAlignment="1">
      <alignment horizontal="center" vertical="center" wrapText="1"/>
    </xf>
    <xf numFmtId="0" fontId="4" fillId="26" borderId="13"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left" vertical="top"/>
      <protection/>
    </xf>
    <xf numFmtId="0" fontId="7" fillId="26" borderId="11" xfId="0" applyNumberFormat="1" applyFont="1" applyFill="1" applyBorder="1" applyAlignment="1" applyProtection="1">
      <alignment horizontal="center" vertical="center" wrapText="1"/>
      <protection/>
    </xf>
    <xf numFmtId="0" fontId="4" fillId="26" borderId="11" xfId="0" applyNumberFormat="1" applyFont="1" applyFill="1" applyBorder="1" applyAlignment="1" applyProtection="1">
      <alignment horizontal="center" vertical="center" wrapText="1"/>
      <protection/>
    </xf>
    <xf numFmtId="0" fontId="4" fillId="26" borderId="21" xfId="0" applyNumberFormat="1" applyFont="1" applyFill="1" applyBorder="1" applyAlignment="1" applyProtection="1">
      <alignment horizontal="center" vertical="center" wrapText="1"/>
      <protection/>
    </xf>
    <xf numFmtId="3" fontId="5" fillId="0" borderId="19" xfId="0" applyNumberFormat="1" applyFont="1" applyFill="1" applyBorder="1" applyAlignment="1" applyProtection="1">
      <alignment horizontal="right" vertical="center" wrapText="1"/>
      <protection/>
    </xf>
    <xf numFmtId="0" fontId="0" fillId="0" borderId="19" xfId="0" applyBorder="1" applyAlignment="1">
      <alignment horizontal="right" vertical="center" wrapText="1"/>
    </xf>
    <xf numFmtId="0" fontId="2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3" fontId="33" fillId="0" borderId="0" xfId="0" applyNumberFormat="1" applyFont="1" applyFill="1" applyAlignment="1" applyProtection="1">
      <alignment horizontal="center" vertical="center" wrapText="1"/>
      <protection/>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3" fontId="23" fillId="0" borderId="1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0" fillId="26" borderId="11" xfId="0" applyNumberFormat="1" applyFont="1" applyFill="1" applyBorder="1" applyAlignment="1" applyProtection="1">
      <alignment horizontal="center" vertical="center" wrapText="1"/>
      <protection/>
    </xf>
    <xf numFmtId="0" fontId="30" fillId="26" borderId="11" xfId="0" applyNumberFormat="1" applyFont="1" applyFill="1" applyBorder="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4" fillId="26" borderId="17" xfId="0" applyNumberFormat="1" applyFont="1" applyFill="1" applyBorder="1" applyAlignment="1" applyProtection="1">
      <alignment horizontal="center" vertical="center" wrapText="1"/>
      <protection/>
    </xf>
    <xf numFmtId="3" fontId="36" fillId="0" borderId="11" xfId="0" applyNumberFormat="1" applyFont="1" applyFill="1" applyBorder="1" applyAlignment="1">
      <alignment horizontal="center" vertical="top" wrapText="1"/>
    </xf>
    <xf numFmtId="0" fontId="36" fillId="0" borderId="22" xfId="0" applyFont="1" applyBorder="1" applyAlignment="1">
      <alignment horizontal="center" vertical="center" wrapText="1"/>
    </xf>
    <xf numFmtId="0" fontId="30" fillId="0" borderId="11" xfId="0" applyFont="1" applyBorder="1" applyAlignment="1">
      <alignment horizontal="center" vertical="top"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3" xfId="0" applyFont="1" applyBorder="1" applyAlignment="1">
      <alignment horizontal="center" vertical="center" wrapText="1"/>
    </xf>
    <xf numFmtId="0" fontId="36" fillId="0" borderId="11" xfId="0" applyFont="1" applyBorder="1" applyAlignment="1">
      <alignment horizontal="left" vertical="top" wrapText="1"/>
    </xf>
    <xf numFmtId="3" fontId="36" fillId="0" borderId="17" xfId="0" applyNumberFormat="1" applyFont="1" applyFill="1" applyBorder="1" applyAlignment="1">
      <alignment horizontal="center" vertical="top" wrapText="1"/>
    </xf>
    <xf numFmtId="3" fontId="36" fillId="0" borderId="21" xfId="0" applyNumberFormat="1" applyFont="1" applyFill="1" applyBorder="1" applyAlignment="1">
      <alignment horizontal="center" vertical="top" wrapText="1"/>
    </xf>
    <xf numFmtId="0" fontId="36" fillId="0" borderId="11" xfId="0" applyFont="1" applyBorder="1" applyAlignment="1">
      <alignment horizontal="center" vertical="center" wrapText="1"/>
    </xf>
    <xf numFmtId="0" fontId="8" fillId="0" borderId="20" xfId="0" applyFont="1" applyBorder="1" applyAlignment="1">
      <alignment horizontal="center"/>
    </xf>
    <xf numFmtId="0" fontId="8" fillId="0" borderId="18" xfId="0" applyFont="1" applyBorder="1" applyAlignment="1">
      <alignment horizontal="center"/>
    </xf>
    <xf numFmtId="0" fontId="0" fillId="0" borderId="22" xfId="0" applyBorder="1" applyAlignment="1">
      <alignment horizontal="center"/>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36" fillId="0" borderId="20" xfId="0" applyFont="1" applyBorder="1" applyAlignment="1">
      <alignment vertical="center"/>
    </xf>
    <xf numFmtId="0" fontId="36" fillId="0" borderId="18" xfId="0" applyFont="1"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36" fillId="0" borderId="18"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36" fillId="0" borderId="0" xfId="0" applyFont="1" applyAlignment="1">
      <alignment/>
    </xf>
    <xf numFmtId="0" fontId="0" fillId="0" borderId="0" xfId="0" applyAlignment="1">
      <alignment/>
    </xf>
    <xf numFmtId="3" fontId="33" fillId="0" borderId="17" xfId="0" applyNumberFormat="1" applyFont="1" applyFill="1" applyBorder="1" applyAlignment="1">
      <alignment horizontal="center" vertical="top" wrapText="1"/>
    </xf>
    <xf numFmtId="0" fontId="55" fillId="0" borderId="21" xfId="0" applyFont="1" applyBorder="1" applyAlignment="1">
      <alignment horizontal="center" wrapText="1"/>
    </xf>
    <xf numFmtId="0" fontId="55" fillId="0" borderId="13" xfId="0" applyFont="1" applyBorder="1" applyAlignment="1">
      <alignment horizontal="center" wrapText="1"/>
    </xf>
    <xf numFmtId="0" fontId="33" fillId="0" borderId="0" xfId="0" applyFont="1" applyAlignment="1">
      <alignment/>
    </xf>
    <xf numFmtId="0" fontId="33" fillId="0" borderId="0" xfId="0" applyFont="1" applyBorder="1" applyAlignment="1">
      <alignment horizontal="left" wrapText="1"/>
    </xf>
    <xf numFmtId="0" fontId="36" fillId="0" borderId="0" xfId="0" applyFont="1" applyAlignment="1">
      <alignment horizontal="center" vertical="center" wrapText="1"/>
    </xf>
    <xf numFmtId="0" fontId="36" fillId="0" borderId="20" xfId="0" applyFont="1" applyBorder="1" applyAlignment="1">
      <alignment horizontal="center" vertical="center" wrapText="1"/>
    </xf>
    <xf numFmtId="0" fontId="0" fillId="0" borderId="22" xfId="0" applyBorder="1" applyAlignment="1">
      <alignment horizontal="center" vertical="center" wrapText="1"/>
    </xf>
    <xf numFmtId="0" fontId="30" fillId="0" borderId="29" xfId="0" applyFont="1" applyBorder="1" applyAlignment="1">
      <alignment horizontal="center" vertical="center" wrapText="1"/>
    </xf>
    <xf numFmtId="0" fontId="0" fillId="0" borderId="21" xfId="0" applyBorder="1" applyAlignment="1">
      <alignment horizontal="center" vertical="center" wrapText="1"/>
    </xf>
    <xf numFmtId="0" fontId="34" fillId="0" borderId="17" xfId="0" applyFont="1" applyBorder="1" applyAlignment="1">
      <alignment horizontal="left" vertical="center" wrapText="1"/>
    </xf>
    <xf numFmtId="0" fontId="34" fillId="0" borderId="21" xfId="0" applyFont="1" applyBorder="1" applyAlignment="1">
      <alignment horizontal="left" vertical="center" wrapText="1"/>
    </xf>
    <xf numFmtId="0" fontId="34" fillId="0" borderId="13" xfId="0" applyFont="1" applyBorder="1" applyAlignment="1">
      <alignment horizontal="left" vertical="center" wrapText="1"/>
    </xf>
    <xf numFmtId="0" fontId="33" fillId="0" borderId="17" xfId="0" applyFont="1" applyBorder="1" applyAlignment="1">
      <alignment horizontal="left" vertical="center" wrapText="1"/>
    </xf>
    <xf numFmtId="0" fontId="33" fillId="0" borderId="21" xfId="0" applyFont="1" applyBorder="1" applyAlignment="1">
      <alignment horizontal="left" vertical="center" wrapText="1"/>
    </xf>
    <xf numFmtId="0" fontId="33" fillId="0" borderId="25" xfId="0" applyFont="1" applyBorder="1" applyAlignment="1">
      <alignment horizontal="left" vertical="center" wrapText="1"/>
    </xf>
    <xf numFmtId="0" fontId="34" fillId="0" borderId="21" xfId="0" applyFont="1" applyBorder="1" applyAlignment="1">
      <alignment horizontal="left" vertical="center" wrapText="1"/>
    </xf>
    <xf numFmtId="0" fontId="33" fillId="0" borderId="13" xfId="0" applyFont="1" applyBorder="1" applyAlignment="1">
      <alignment horizontal="left" vertical="center" wrapText="1"/>
    </xf>
    <xf numFmtId="0" fontId="33" fillId="0" borderId="17"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3" xfId="0" applyFont="1" applyBorder="1" applyAlignment="1">
      <alignment horizontal="center" vertical="center" wrapText="1"/>
    </xf>
    <xf numFmtId="0" fontId="34" fillId="0" borderId="17" xfId="0" applyFont="1" applyBorder="1" applyAlignment="1">
      <alignment horizontal="left" vertical="top" wrapText="1"/>
    </xf>
    <xf numFmtId="0" fontId="34" fillId="0" borderId="21" xfId="0" applyFont="1" applyBorder="1" applyAlignment="1">
      <alignment horizontal="left" vertical="top" wrapText="1"/>
    </xf>
    <xf numFmtId="0" fontId="34" fillId="0" borderId="21" xfId="0" applyFont="1" applyBorder="1" applyAlignment="1">
      <alignment horizontal="left" vertical="top" wrapText="1"/>
    </xf>
    <xf numFmtId="0" fontId="34" fillId="0" borderId="13" xfId="0" applyFont="1" applyBorder="1" applyAlignment="1">
      <alignment horizontal="left" vertical="top" wrapText="1"/>
    </xf>
    <xf numFmtId="0" fontId="32" fillId="0" borderId="0" xfId="0" applyFont="1" applyBorder="1" applyAlignment="1">
      <alignment horizont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33" fillId="0" borderId="33" xfId="0" applyFont="1" applyBorder="1" applyAlignment="1">
      <alignment horizontal="left" vertical="center" wrapText="1"/>
    </xf>
    <xf numFmtId="0" fontId="0" fillId="0" borderId="17" xfId="0" applyFont="1" applyFill="1" applyBorder="1" applyAlignment="1">
      <alignment vertical="center" wrapText="1"/>
    </xf>
    <xf numFmtId="0" fontId="0" fillId="0" borderId="21" xfId="0" applyFont="1" applyFill="1" applyBorder="1" applyAlignment="1">
      <alignment vertical="center" wrapText="1"/>
    </xf>
    <xf numFmtId="0" fontId="0" fillId="0" borderId="13" xfId="0" applyFont="1" applyFill="1" applyBorder="1" applyAlignment="1">
      <alignment vertical="center" wrapText="1"/>
    </xf>
    <xf numFmtId="0" fontId="62" fillId="0" borderId="0" xfId="0" applyFont="1" applyFill="1" applyAlignment="1">
      <alignment horizontal="center"/>
    </xf>
    <xf numFmtId="0" fontId="8" fillId="0" borderId="0" xfId="0" applyFont="1" applyFill="1" applyAlignment="1">
      <alignment horizontal="center" wrapText="1"/>
    </xf>
    <xf numFmtId="0" fontId="5" fillId="0" borderId="1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1" xfId="0" applyBorder="1" applyAlignment="1">
      <alignment vertical="center" wrapText="1"/>
    </xf>
    <xf numFmtId="0" fontId="0" fillId="0" borderId="13" xfId="0" applyBorder="1" applyAlignment="1">
      <alignment vertical="center" wrapText="1"/>
    </xf>
    <xf numFmtId="0" fontId="33" fillId="0" borderId="0" xfId="0" applyFont="1" applyFill="1" applyBorder="1" applyAlignment="1">
      <alignment horizontal="center"/>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3" xfId="0" applyFill="1" applyBorder="1" applyAlignment="1">
      <alignment horizontal="center" vertical="center"/>
    </xf>
    <xf numFmtId="49" fontId="0" fillId="0" borderId="26"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0" xfId="0" applyFont="1" applyAlignment="1">
      <alignment horizontal="left" vertical="center" wrapText="1"/>
    </xf>
    <xf numFmtId="0" fontId="0" fillId="0" borderId="0" xfId="0" applyNumberFormat="1" applyFont="1" applyFill="1" applyBorder="1" applyAlignment="1" applyProtection="1">
      <alignment horizontal="left" vertical="center" wrapText="1"/>
      <protection/>
    </xf>
    <xf numFmtId="0" fontId="38" fillId="0" borderId="0" xfId="0" applyFont="1" applyAlignment="1">
      <alignment horizontal="center"/>
    </xf>
    <xf numFmtId="0" fontId="67" fillId="0" borderId="17" xfId="0" applyFont="1" applyBorder="1" applyAlignment="1">
      <alignment horizontal="center" vertical="center"/>
    </xf>
    <xf numFmtId="0" fontId="67" fillId="0" borderId="13" xfId="0" applyFont="1" applyBorder="1" applyAlignment="1">
      <alignment horizontal="center" vertical="center"/>
    </xf>
    <xf numFmtId="0" fontId="68" fillId="0" borderId="17" xfId="0" applyFont="1" applyBorder="1" applyAlignment="1">
      <alignment horizontal="center" vertical="top" wrapText="1"/>
    </xf>
    <xf numFmtId="0" fontId="68" fillId="0" borderId="13" xfId="0" applyFont="1" applyBorder="1" applyAlignment="1">
      <alignment horizontal="center" vertical="top" wrapText="1"/>
    </xf>
    <xf numFmtId="0" fontId="68" fillId="0" borderId="20" xfId="0" applyFont="1" applyBorder="1" applyAlignment="1">
      <alignment horizontal="center" vertical="top" wrapText="1"/>
    </xf>
    <xf numFmtId="0" fontId="68" fillId="0" borderId="22" xfId="0" applyFont="1" applyBorder="1" applyAlignment="1">
      <alignment horizontal="center" vertical="top" wrapText="1"/>
    </xf>
    <xf numFmtId="3" fontId="5" fillId="0" borderId="0" xfId="0" applyNumberFormat="1" applyFont="1" applyFill="1" applyBorder="1" applyAlignment="1" applyProtection="1">
      <alignment horizontal="right" vertical="center" wrapText="1"/>
      <protection/>
    </xf>
    <xf numFmtId="0" fontId="0" fillId="0" borderId="0" xfId="0" applyBorder="1" applyAlignment="1">
      <alignment horizontal="right" vertical="center" wrapText="1"/>
    </xf>
    <xf numFmtId="0" fontId="0" fillId="0" borderId="16" xfId="0" applyBorder="1" applyAlignment="1">
      <alignment horizontal="center" vertical="center" wrapText="1"/>
    </xf>
    <xf numFmtId="0" fontId="33" fillId="0" borderId="11" xfId="0" applyFont="1" applyBorder="1" applyAlignment="1">
      <alignment horizontal="center" vertical="center" wrapText="1"/>
    </xf>
    <xf numFmtId="0" fontId="33" fillId="0" borderId="21" xfId="0" applyFont="1" applyBorder="1" applyAlignment="1">
      <alignment horizontal="center" vertical="center" wrapText="1"/>
    </xf>
    <xf numFmtId="0" fontId="0" fillId="0" borderId="21" xfId="0" applyBorder="1" applyAlignment="1">
      <alignment horizontal="left" vertical="center" wrapText="1"/>
    </xf>
    <xf numFmtId="0" fontId="0" fillId="0" borderId="17" xfId="0" applyFont="1" applyBorder="1" applyAlignment="1">
      <alignment horizontal="left" vertical="center" wrapText="1"/>
    </xf>
    <xf numFmtId="0" fontId="33" fillId="0" borderId="29" xfId="0" applyFont="1" applyBorder="1" applyAlignment="1">
      <alignment horizontal="left" vertical="center" wrapText="1"/>
    </xf>
    <xf numFmtId="0" fontId="33" fillId="0" borderId="21" xfId="0" applyFont="1" applyBorder="1" applyAlignment="1">
      <alignment horizontal="left" vertical="center" wrapText="1"/>
    </xf>
    <xf numFmtId="0" fontId="34" fillId="26" borderId="1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13" xfId="0" applyFont="1" applyFill="1" applyBorder="1" applyAlignment="1">
      <alignment horizontal="left" vertical="center" wrapText="1"/>
    </xf>
    <xf numFmtId="0" fontId="0" fillId="26" borderId="29" xfId="0" applyFill="1" applyBorder="1" applyAlignment="1">
      <alignment horizontal="left" vertical="center" wrapText="1"/>
    </xf>
    <xf numFmtId="0" fontId="0" fillId="26" borderId="17" xfId="0" applyFont="1" applyFill="1" applyBorder="1" applyAlignment="1">
      <alignment horizontal="left" vertical="center" wrapText="1"/>
    </xf>
    <xf numFmtId="0" fontId="34" fillId="0" borderId="29" xfId="0" applyFont="1" applyBorder="1" applyAlignment="1">
      <alignment horizontal="left" vertical="center" wrapText="1"/>
    </xf>
    <xf numFmtId="0" fontId="0" fillId="26" borderId="13" xfId="0" applyFill="1" applyBorder="1" applyAlignment="1">
      <alignment horizontal="left" vertical="center" wrapText="1"/>
    </xf>
    <xf numFmtId="0" fontId="34" fillId="26" borderId="21" xfId="0" applyFont="1" applyFill="1" applyBorder="1" applyAlignment="1">
      <alignment horizontal="left"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Додаток _ 3 зм_ни 4575"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_Сеся15.08.08"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IS81"/>
  <sheetViews>
    <sheetView showGridLines="0" showZeros="0" view="pageBreakPreview" zoomScaleSheetLayoutView="100" zoomScalePageLayoutView="0" workbookViewId="0" topLeftCell="A71">
      <selection activeCell="C79" sqref="C79"/>
    </sheetView>
  </sheetViews>
  <sheetFormatPr defaultColWidth="9.16015625" defaultRowHeight="12.75"/>
  <cols>
    <col min="1" max="1" width="16.66015625" style="3" customWidth="1"/>
    <col min="2" max="2" width="49.66015625" style="70" customWidth="1"/>
    <col min="3" max="3" width="17.33203125" style="117" customWidth="1"/>
    <col min="4" max="4" width="16.16015625" style="117" customWidth="1"/>
    <col min="5" max="5" width="11.66015625" style="117" customWidth="1"/>
    <col min="6" max="6" width="13.5" style="117" customWidth="1"/>
    <col min="7" max="12" width="9.16015625" style="3" customWidth="1"/>
    <col min="13" max="244" width="9.16015625" style="23" customWidth="1"/>
    <col min="245" max="253" width="9.16015625" style="3" customWidth="1"/>
    <col min="254" max="16384" width="9.16015625" style="23" customWidth="1"/>
  </cols>
  <sheetData>
    <row r="1" spans="1:253" s="28" customFormat="1" ht="15">
      <c r="A1" s="27"/>
      <c r="B1" s="70"/>
      <c r="C1" s="116"/>
      <c r="D1" s="116"/>
      <c r="E1" s="116"/>
      <c r="F1" s="116"/>
      <c r="G1" s="27"/>
      <c r="H1" s="27"/>
      <c r="I1" s="27"/>
      <c r="J1" s="27"/>
      <c r="K1" s="27"/>
      <c r="L1" s="27"/>
      <c r="IK1" s="27"/>
      <c r="IL1" s="27"/>
      <c r="IM1" s="27"/>
      <c r="IN1" s="27"/>
      <c r="IO1" s="27"/>
      <c r="IP1" s="27"/>
      <c r="IQ1" s="27"/>
      <c r="IR1" s="27"/>
      <c r="IS1" s="27"/>
    </row>
    <row r="3" spans="3:13" ht="66.75" customHeight="1">
      <c r="C3" s="524" t="s">
        <v>273</v>
      </c>
      <c r="D3" s="524"/>
      <c r="E3" s="524"/>
      <c r="F3" s="524"/>
      <c r="M3" s="3"/>
    </row>
    <row r="4" spans="1:5" ht="31.5" customHeight="1">
      <c r="A4" s="525" t="s">
        <v>333</v>
      </c>
      <c r="B4" s="526"/>
      <c r="C4" s="526"/>
      <c r="D4" s="526"/>
      <c r="E4" s="526"/>
    </row>
    <row r="5" spans="2:6" ht="12.75">
      <c r="B5" s="104"/>
      <c r="C5" s="118"/>
      <c r="D5" s="118"/>
      <c r="E5" s="118"/>
      <c r="F5" s="119" t="s">
        <v>94</v>
      </c>
    </row>
    <row r="6" spans="1:6" ht="25.5" customHeight="1">
      <c r="A6" s="522" t="s">
        <v>26</v>
      </c>
      <c r="B6" s="523" t="s">
        <v>42</v>
      </c>
      <c r="C6" s="527" t="s">
        <v>68</v>
      </c>
      <c r="D6" s="527" t="s">
        <v>65</v>
      </c>
      <c r="E6" s="527" t="s">
        <v>66</v>
      </c>
      <c r="F6" s="527"/>
    </row>
    <row r="7" spans="1:6" ht="49.5" customHeight="1">
      <c r="A7" s="522"/>
      <c r="B7" s="523"/>
      <c r="C7" s="527"/>
      <c r="D7" s="527"/>
      <c r="E7" s="120" t="s">
        <v>68</v>
      </c>
      <c r="F7" s="121" t="s">
        <v>77</v>
      </c>
    </row>
    <row r="8" spans="1:253" s="30" customFormat="1" ht="23.25" customHeight="1">
      <c r="A8" s="34">
        <v>10000000</v>
      </c>
      <c r="B8" s="105" t="s">
        <v>44</v>
      </c>
      <c r="C8" s="122">
        <f aca="true" t="shared" si="0" ref="C8:C15">D8</f>
        <v>36875933</v>
      </c>
      <c r="D8" s="123">
        <f>D9</f>
        <v>36875933</v>
      </c>
      <c r="E8" s="123"/>
      <c r="F8" s="123"/>
      <c r="G8" s="29"/>
      <c r="H8" s="29"/>
      <c r="I8" s="29"/>
      <c r="J8" s="29"/>
      <c r="K8" s="29"/>
      <c r="L8" s="29"/>
      <c r="IK8" s="29"/>
      <c r="IL8" s="29"/>
      <c r="IM8" s="29"/>
      <c r="IN8" s="29"/>
      <c r="IO8" s="29"/>
      <c r="IP8" s="29"/>
      <c r="IQ8" s="29"/>
      <c r="IR8" s="29"/>
      <c r="IS8" s="29"/>
    </row>
    <row r="9" spans="1:253" s="103" customFormat="1" ht="29.25" customHeight="1">
      <c r="A9" s="34">
        <v>11000000</v>
      </c>
      <c r="B9" s="106" t="s">
        <v>45</v>
      </c>
      <c r="C9" s="122">
        <f t="shared" si="0"/>
        <v>36875933</v>
      </c>
      <c r="D9" s="123">
        <f>D10+D14</f>
        <v>36875933</v>
      </c>
      <c r="E9" s="123"/>
      <c r="F9" s="123"/>
      <c r="G9" s="102"/>
      <c r="H9" s="102"/>
      <c r="I9" s="102"/>
      <c r="J9" s="102"/>
      <c r="K9" s="102"/>
      <c r="L9" s="102"/>
      <c r="IK9" s="102"/>
      <c r="IL9" s="102"/>
      <c r="IM9" s="102"/>
      <c r="IN9" s="102"/>
      <c r="IO9" s="102"/>
      <c r="IP9" s="102"/>
      <c r="IQ9" s="102"/>
      <c r="IR9" s="102"/>
      <c r="IS9" s="102"/>
    </row>
    <row r="10" spans="1:253" s="103" customFormat="1" ht="16.5" customHeight="1">
      <c r="A10" s="34">
        <v>11010000</v>
      </c>
      <c r="B10" s="106" t="s">
        <v>161</v>
      </c>
      <c r="C10" s="122">
        <f t="shared" si="0"/>
        <v>36855933</v>
      </c>
      <c r="D10" s="123">
        <f>D11+D12+D13</f>
        <v>36855933</v>
      </c>
      <c r="E10" s="123"/>
      <c r="F10" s="123"/>
      <c r="G10" s="102"/>
      <c r="H10" s="102"/>
      <c r="I10" s="102"/>
      <c r="J10" s="102"/>
      <c r="K10" s="102"/>
      <c r="L10" s="102"/>
      <c r="IK10" s="102"/>
      <c r="IL10" s="102"/>
      <c r="IM10" s="102"/>
      <c r="IN10" s="102"/>
      <c r="IO10" s="102"/>
      <c r="IP10" s="102"/>
      <c r="IQ10" s="102"/>
      <c r="IR10" s="102"/>
      <c r="IS10" s="102"/>
    </row>
    <row r="11" spans="1:253" s="36" customFormat="1" ht="38.25" customHeight="1">
      <c r="A11" s="24">
        <v>11010100</v>
      </c>
      <c r="B11" s="107" t="s">
        <v>162</v>
      </c>
      <c r="C11" s="124">
        <f t="shared" si="0"/>
        <v>31769933</v>
      </c>
      <c r="D11" s="125">
        <f>26203800+2798200+10000-20067+150000+2605000+23000</f>
        <v>31769933</v>
      </c>
      <c r="E11" s="125"/>
      <c r="F11" s="125"/>
      <c r="G11" s="35"/>
      <c r="H11" s="35"/>
      <c r="I11" s="35"/>
      <c r="J11" s="35"/>
      <c r="K11" s="35"/>
      <c r="L11" s="35"/>
      <c r="IK11" s="35"/>
      <c r="IL11" s="35"/>
      <c r="IM11" s="35"/>
      <c r="IN11" s="35"/>
      <c r="IO11" s="35"/>
      <c r="IP11" s="35"/>
      <c r="IQ11" s="35"/>
      <c r="IR11" s="35"/>
      <c r="IS11" s="35"/>
    </row>
    <row r="12" spans="1:253" s="36" customFormat="1" ht="38.25" customHeight="1">
      <c r="A12" s="24">
        <v>11010400</v>
      </c>
      <c r="B12" s="291" t="s">
        <v>24</v>
      </c>
      <c r="C12" s="124">
        <f>D12</f>
        <v>4905300</v>
      </c>
      <c r="D12" s="125">
        <v>4905300</v>
      </c>
      <c r="E12" s="125"/>
      <c r="F12" s="125"/>
      <c r="G12" s="35"/>
      <c r="H12" s="35"/>
      <c r="I12" s="35"/>
      <c r="J12" s="35"/>
      <c r="K12" s="35"/>
      <c r="L12" s="35"/>
      <c r="IK12" s="35"/>
      <c r="IL12" s="35"/>
      <c r="IM12" s="35"/>
      <c r="IN12" s="35"/>
      <c r="IO12" s="35"/>
      <c r="IP12" s="35"/>
      <c r="IQ12" s="35"/>
      <c r="IR12" s="35"/>
      <c r="IS12" s="35"/>
    </row>
    <row r="13" spans="1:253" s="36" customFormat="1" ht="38.25" customHeight="1">
      <c r="A13" s="24">
        <v>11010500</v>
      </c>
      <c r="B13" s="291" t="s">
        <v>25</v>
      </c>
      <c r="C13" s="124">
        <f>D13</f>
        <v>180700</v>
      </c>
      <c r="D13" s="125">
        <v>180700</v>
      </c>
      <c r="E13" s="125"/>
      <c r="F13" s="125"/>
      <c r="G13" s="35"/>
      <c r="H13" s="35"/>
      <c r="I13" s="35"/>
      <c r="J13" s="35"/>
      <c r="K13" s="35"/>
      <c r="L13" s="35"/>
      <c r="IK13" s="35"/>
      <c r="IL13" s="35"/>
      <c r="IM13" s="35"/>
      <c r="IN13" s="35"/>
      <c r="IO13" s="35"/>
      <c r="IP13" s="35"/>
      <c r="IQ13" s="35"/>
      <c r="IR13" s="35"/>
      <c r="IS13" s="35"/>
    </row>
    <row r="14" spans="1:6" s="102" customFormat="1" ht="20.25" customHeight="1">
      <c r="A14" s="34">
        <v>11020000</v>
      </c>
      <c r="B14" s="106" t="s">
        <v>46</v>
      </c>
      <c r="C14" s="122">
        <f t="shared" si="0"/>
        <v>20000</v>
      </c>
      <c r="D14" s="122">
        <f>D15</f>
        <v>20000</v>
      </c>
      <c r="E14" s="122"/>
      <c r="F14" s="122"/>
    </row>
    <row r="15" spans="1:253" s="36" customFormat="1" ht="27" customHeight="1">
      <c r="A15" s="24">
        <v>11020200</v>
      </c>
      <c r="B15" s="107" t="s">
        <v>163</v>
      </c>
      <c r="C15" s="124">
        <f t="shared" si="0"/>
        <v>20000</v>
      </c>
      <c r="D15" s="125">
        <v>20000</v>
      </c>
      <c r="E15" s="125"/>
      <c r="F15" s="125"/>
      <c r="G15" s="35"/>
      <c r="H15" s="35"/>
      <c r="I15" s="35"/>
      <c r="J15" s="35"/>
      <c r="K15" s="35"/>
      <c r="L15" s="35"/>
      <c r="IK15" s="35"/>
      <c r="IL15" s="35"/>
      <c r="IM15" s="35"/>
      <c r="IN15" s="35"/>
      <c r="IO15" s="35"/>
      <c r="IP15" s="35"/>
      <c r="IQ15" s="35"/>
      <c r="IR15" s="35"/>
      <c r="IS15" s="35"/>
    </row>
    <row r="16" spans="1:253" s="36" customFormat="1" ht="20.25" customHeight="1" hidden="1">
      <c r="A16" s="24">
        <v>12000000</v>
      </c>
      <c r="B16" s="107" t="s">
        <v>80</v>
      </c>
      <c r="C16" s="124"/>
      <c r="D16" s="125"/>
      <c r="E16" s="125"/>
      <c r="F16" s="125"/>
      <c r="G16" s="35"/>
      <c r="H16" s="35"/>
      <c r="I16" s="35"/>
      <c r="J16" s="35"/>
      <c r="K16" s="35"/>
      <c r="L16" s="35"/>
      <c r="IK16" s="35"/>
      <c r="IL16" s="35"/>
      <c r="IM16" s="35"/>
      <c r="IN16" s="35"/>
      <c r="IO16" s="35"/>
      <c r="IP16" s="35"/>
      <c r="IQ16" s="35"/>
      <c r="IR16" s="35"/>
      <c r="IS16" s="35"/>
    </row>
    <row r="17" spans="1:253" s="36" customFormat="1" ht="20.25" customHeight="1" hidden="1">
      <c r="A17" s="24" t="s">
        <v>78</v>
      </c>
      <c r="B17" s="107" t="s">
        <v>78</v>
      </c>
      <c r="C17" s="124"/>
      <c r="D17" s="125"/>
      <c r="E17" s="125"/>
      <c r="F17" s="125"/>
      <c r="G17" s="35"/>
      <c r="H17" s="35"/>
      <c r="I17" s="35"/>
      <c r="J17" s="35"/>
      <c r="K17" s="35"/>
      <c r="L17" s="35"/>
      <c r="IK17" s="35"/>
      <c r="IL17" s="35"/>
      <c r="IM17" s="35"/>
      <c r="IN17" s="35"/>
      <c r="IO17" s="35"/>
      <c r="IP17" s="35"/>
      <c r="IQ17" s="35"/>
      <c r="IR17" s="35"/>
      <c r="IS17" s="35"/>
    </row>
    <row r="18" spans="1:253" s="36" customFormat="1" ht="30.75" customHeight="1" hidden="1">
      <c r="A18" s="24">
        <v>13000000</v>
      </c>
      <c r="B18" s="107" t="s">
        <v>81</v>
      </c>
      <c r="C18" s="124"/>
      <c r="D18" s="125"/>
      <c r="E18" s="125"/>
      <c r="F18" s="125"/>
      <c r="G18" s="35"/>
      <c r="H18" s="35"/>
      <c r="I18" s="35"/>
      <c r="J18" s="35"/>
      <c r="K18" s="35"/>
      <c r="L18" s="35"/>
      <c r="IK18" s="35"/>
      <c r="IL18" s="35"/>
      <c r="IM18" s="35"/>
      <c r="IN18" s="35"/>
      <c r="IO18" s="35"/>
      <c r="IP18" s="35"/>
      <c r="IQ18" s="35"/>
      <c r="IR18" s="35"/>
      <c r="IS18" s="35"/>
    </row>
    <row r="19" spans="1:253" s="36" customFormat="1" ht="20.25" customHeight="1" hidden="1">
      <c r="A19" s="24" t="s">
        <v>78</v>
      </c>
      <c r="B19" s="107" t="s">
        <v>78</v>
      </c>
      <c r="C19" s="124"/>
      <c r="D19" s="125"/>
      <c r="E19" s="125"/>
      <c r="F19" s="125"/>
      <c r="G19" s="35"/>
      <c r="H19" s="35"/>
      <c r="I19" s="35"/>
      <c r="J19" s="35"/>
      <c r="K19" s="35"/>
      <c r="L19" s="35"/>
      <c r="IK19" s="35"/>
      <c r="IL19" s="35"/>
      <c r="IM19" s="35"/>
      <c r="IN19" s="35"/>
      <c r="IO19" s="35"/>
      <c r="IP19" s="35"/>
      <c r="IQ19" s="35"/>
      <c r="IR19" s="35"/>
      <c r="IS19" s="35"/>
    </row>
    <row r="20" spans="1:253" s="36" customFormat="1" ht="20.25" customHeight="1" hidden="1">
      <c r="A20" s="24">
        <v>14000000</v>
      </c>
      <c r="B20" s="107" t="s">
        <v>58</v>
      </c>
      <c r="C20" s="124"/>
      <c r="D20" s="125"/>
      <c r="E20" s="125"/>
      <c r="F20" s="125"/>
      <c r="G20" s="35"/>
      <c r="H20" s="35"/>
      <c r="I20" s="35"/>
      <c r="J20" s="35"/>
      <c r="K20" s="35"/>
      <c r="L20" s="35"/>
      <c r="IK20" s="35"/>
      <c r="IL20" s="35"/>
      <c r="IM20" s="35"/>
      <c r="IN20" s="35"/>
      <c r="IO20" s="35"/>
      <c r="IP20" s="35"/>
      <c r="IQ20" s="35"/>
      <c r="IR20" s="35"/>
      <c r="IS20" s="35"/>
    </row>
    <row r="21" spans="1:253" s="36" customFormat="1" ht="20.25" customHeight="1" hidden="1">
      <c r="A21" s="24" t="s">
        <v>78</v>
      </c>
      <c r="B21" s="107" t="s">
        <v>78</v>
      </c>
      <c r="C21" s="124"/>
      <c r="D21" s="125"/>
      <c r="E21" s="125"/>
      <c r="F21" s="125"/>
      <c r="G21" s="35"/>
      <c r="H21" s="35"/>
      <c r="I21" s="35"/>
      <c r="J21" s="35"/>
      <c r="K21" s="35"/>
      <c r="L21" s="35"/>
      <c r="IK21" s="35"/>
      <c r="IL21" s="35"/>
      <c r="IM21" s="35"/>
      <c r="IN21" s="35"/>
      <c r="IO21" s="35"/>
      <c r="IP21" s="35"/>
      <c r="IQ21" s="35"/>
      <c r="IR21" s="35"/>
      <c r="IS21" s="35"/>
    </row>
    <row r="22" spans="1:253" s="36" customFormat="1" ht="29.25" customHeight="1" hidden="1">
      <c r="A22" s="24">
        <v>15000000</v>
      </c>
      <c r="B22" s="107" t="s">
        <v>82</v>
      </c>
      <c r="C22" s="124"/>
      <c r="D22" s="125"/>
      <c r="E22" s="125"/>
      <c r="F22" s="125"/>
      <c r="G22" s="35"/>
      <c r="H22" s="35"/>
      <c r="I22" s="35"/>
      <c r="J22" s="35"/>
      <c r="K22" s="35"/>
      <c r="L22" s="35"/>
      <c r="IK22" s="35"/>
      <c r="IL22" s="35"/>
      <c r="IM22" s="35"/>
      <c r="IN22" s="35"/>
      <c r="IO22" s="35"/>
      <c r="IP22" s="35"/>
      <c r="IQ22" s="35"/>
      <c r="IR22" s="35"/>
      <c r="IS22" s="35"/>
    </row>
    <row r="23" spans="1:253" s="36" customFormat="1" ht="20.25" customHeight="1" hidden="1">
      <c r="A23" s="24" t="s">
        <v>78</v>
      </c>
      <c r="B23" s="107" t="s">
        <v>78</v>
      </c>
      <c r="C23" s="124"/>
      <c r="D23" s="125"/>
      <c r="E23" s="125"/>
      <c r="F23" s="125"/>
      <c r="G23" s="35"/>
      <c r="H23" s="35"/>
      <c r="I23" s="35"/>
      <c r="J23" s="35"/>
      <c r="K23" s="35"/>
      <c r="L23" s="35"/>
      <c r="IK23" s="35"/>
      <c r="IL23" s="35"/>
      <c r="IM23" s="35"/>
      <c r="IN23" s="35"/>
      <c r="IO23" s="35"/>
      <c r="IP23" s="35"/>
      <c r="IQ23" s="35"/>
      <c r="IR23" s="35"/>
      <c r="IS23" s="35"/>
    </row>
    <row r="24" spans="1:253" s="36" customFormat="1" ht="29.25" customHeight="1" hidden="1">
      <c r="A24" s="24">
        <v>16000000</v>
      </c>
      <c r="B24" s="107" t="s">
        <v>83</v>
      </c>
      <c r="C24" s="124"/>
      <c r="D24" s="125"/>
      <c r="E24" s="125"/>
      <c r="F24" s="125"/>
      <c r="G24" s="35"/>
      <c r="H24" s="35"/>
      <c r="I24" s="35"/>
      <c r="J24" s="35"/>
      <c r="K24" s="35"/>
      <c r="L24" s="35"/>
      <c r="IK24" s="35"/>
      <c r="IL24" s="35"/>
      <c r="IM24" s="35"/>
      <c r="IN24" s="35"/>
      <c r="IO24" s="35"/>
      <c r="IP24" s="35"/>
      <c r="IQ24" s="35"/>
      <c r="IR24" s="35"/>
      <c r="IS24" s="35"/>
    </row>
    <row r="25" spans="1:253" s="36" customFormat="1" ht="20.25" customHeight="1" hidden="1">
      <c r="A25" s="24" t="s">
        <v>78</v>
      </c>
      <c r="B25" s="107" t="s">
        <v>78</v>
      </c>
      <c r="C25" s="124"/>
      <c r="D25" s="125"/>
      <c r="E25" s="125"/>
      <c r="F25" s="125"/>
      <c r="G25" s="35"/>
      <c r="H25" s="35"/>
      <c r="I25" s="35"/>
      <c r="J25" s="35"/>
      <c r="K25" s="35"/>
      <c r="L25" s="35"/>
      <c r="IK25" s="35"/>
      <c r="IL25" s="35"/>
      <c r="IM25" s="35"/>
      <c r="IN25" s="35"/>
      <c r="IO25" s="35"/>
      <c r="IP25" s="35"/>
      <c r="IQ25" s="35"/>
      <c r="IR25" s="35"/>
      <c r="IS25" s="35"/>
    </row>
    <row r="26" spans="1:253" s="36" customFormat="1" ht="28.5" customHeight="1" hidden="1">
      <c r="A26" s="24">
        <v>17000000</v>
      </c>
      <c r="B26" s="107" t="s">
        <v>59</v>
      </c>
      <c r="C26" s="124"/>
      <c r="D26" s="125"/>
      <c r="E26" s="125"/>
      <c r="F26" s="125"/>
      <c r="G26" s="35"/>
      <c r="H26" s="35"/>
      <c r="I26" s="35"/>
      <c r="J26" s="35"/>
      <c r="K26" s="35"/>
      <c r="L26" s="35"/>
      <c r="IK26" s="35"/>
      <c r="IL26" s="35"/>
      <c r="IM26" s="35"/>
      <c r="IN26" s="35"/>
      <c r="IO26" s="35"/>
      <c r="IP26" s="35"/>
      <c r="IQ26" s="35"/>
      <c r="IR26" s="35"/>
      <c r="IS26" s="35"/>
    </row>
    <row r="27" spans="1:253" s="36" customFormat="1" ht="20.25" customHeight="1" hidden="1">
      <c r="A27" s="24" t="s">
        <v>78</v>
      </c>
      <c r="B27" s="107" t="s">
        <v>78</v>
      </c>
      <c r="C27" s="124"/>
      <c r="D27" s="125"/>
      <c r="E27" s="125"/>
      <c r="F27" s="125"/>
      <c r="G27" s="35"/>
      <c r="H27" s="35"/>
      <c r="I27" s="35"/>
      <c r="J27" s="35"/>
      <c r="K27" s="35"/>
      <c r="L27" s="35"/>
      <c r="IK27" s="35"/>
      <c r="IL27" s="35"/>
      <c r="IM27" s="35"/>
      <c r="IN27" s="35"/>
      <c r="IO27" s="35"/>
      <c r="IP27" s="35"/>
      <c r="IQ27" s="35"/>
      <c r="IR27" s="35"/>
      <c r="IS27" s="35"/>
    </row>
    <row r="28" spans="1:253" s="36" customFormat="1" ht="20.25" customHeight="1" hidden="1">
      <c r="A28" s="24">
        <v>18000000</v>
      </c>
      <c r="B28" s="107" t="s">
        <v>110</v>
      </c>
      <c r="C28" s="124"/>
      <c r="D28" s="125"/>
      <c r="E28" s="125"/>
      <c r="F28" s="125"/>
      <c r="G28" s="35"/>
      <c r="H28" s="35"/>
      <c r="I28" s="35"/>
      <c r="J28" s="35"/>
      <c r="K28" s="35"/>
      <c r="L28" s="35"/>
      <c r="IK28" s="35"/>
      <c r="IL28" s="35"/>
      <c r="IM28" s="35"/>
      <c r="IN28" s="35"/>
      <c r="IO28" s="35"/>
      <c r="IP28" s="35"/>
      <c r="IQ28" s="35"/>
      <c r="IR28" s="35"/>
      <c r="IS28" s="35"/>
    </row>
    <row r="29" spans="1:253" s="36" customFormat="1" ht="20.25" customHeight="1" hidden="1">
      <c r="A29" s="24" t="s">
        <v>78</v>
      </c>
      <c r="B29" s="107" t="s">
        <v>78</v>
      </c>
      <c r="C29" s="124"/>
      <c r="D29" s="125"/>
      <c r="E29" s="125"/>
      <c r="F29" s="125"/>
      <c r="G29" s="35"/>
      <c r="H29" s="35"/>
      <c r="I29" s="35"/>
      <c r="J29" s="35"/>
      <c r="K29" s="35"/>
      <c r="L29" s="35"/>
      <c r="IK29" s="35"/>
      <c r="IL29" s="35"/>
      <c r="IM29" s="35"/>
      <c r="IN29" s="35"/>
      <c r="IO29" s="35"/>
      <c r="IP29" s="35"/>
      <c r="IQ29" s="35"/>
      <c r="IR29" s="35"/>
      <c r="IS29" s="35"/>
    </row>
    <row r="30" spans="1:253" s="36" customFormat="1" ht="20.25" customHeight="1" hidden="1">
      <c r="A30" s="24">
        <v>19000000</v>
      </c>
      <c r="B30" s="107" t="s">
        <v>47</v>
      </c>
      <c r="C30" s="124"/>
      <c r="D30" s="125"/>
      <c r="E30" s="125"/>
      <c r="F30" s="125"/>
      <c r="G30" s="35"/>
      <c r="H30" s="35"/>
      <c r="I30" s="35"/>
      <c r="J30" s="35"/>
      <c r="K30" s="35"/>
      <c r="L30" s="35"/>
      <c r="IK30" s="35"/>
      <c r="IL30" s="35"/>
      <c r="IM30" s="35"/>
      <c r="IN30" s="35"/>
      <c r="IO30" s="35"/>
      <c r="IP30" s="35"/>
      <c r="IQ30" s="35"/>
      <c r="IR30" s="35"/>
      <c r="IS30" s="35"/>
    </row>
    <row r="31" spans="1:253" s="36" customFormat="1" ht="20.25" customHeight="1" hidden="1">
      <c r="A31" s="24" t="s">
        <v>78</v>
      </c>
      <c r="B31" s="107" t="s">
        <v>78</v>
      </c>
      <c r="C31" s="124"/>
      <c r="D31" s="125"/>
      <c r="E31" s="125"/>
      <c r="F31" s="125"/>
      <c r="G31" s="35"/>
      <c r="H31" s="35"/>
      <c r="I31" s="35"/>
      <c r="J31" s="35"/>
      <c r="K31" s="35"/>
      <c r="L31" s="35"/>
      <c r="IK31" s="35"/>
      <c r="IL31" s="35"/>
      <c r="IM31" s="35"/>
      <c r="IN31" s="35"/>
      <c r="IO31" s="35"/>
      <c r="IP31" s="35"/>
      <c r="IQ31" s="35"/>
      <c r="IR31" s="35"/>
      <c r="IS31" s="35"/>
    </row>
    <row r="32" spans="1:253" s="147" customFormat="1" ht="20.25" customHeight="1">
      <c r="A32" s="34">
        <v>20000000</v>
      </c>
      <c r="B32" s="105" t="s">
        <v>48</v>
      </c>
      <c r="C32" s="122">
        <f>D32+E32</f>
        <v>1126600</v>
      </c>
      <c r="D32" s="123">
        <f>D33+D38+D44</f>
        <v>380000</v>
      </c>
      <c r="E32" s="123">
        <f>E37+E47</f>
        <v>746600</v>
      </c>
      <c r="F32" s="123"/>
      <c r="G32" s="146"/>
      <c r="H32" s="146"/>
      <c r="I32" s="146"/>
      <c r="J32" s="146"/>
      <c r="K32" s="146"/>
      <c r="L32" s="146"/>
      <c r="IK32" s="146"/>
      <c r="IL32" s="146"/>
      <c r="IM32" s="146"/>
      <c r="IN32" s="146"/>
      <c r="IO32" s="146"/>
      <c r="IP32" s="146"/>
      <c r="IQ32" s="146"/>
      <c r="IR32" s="146"/>
      <c r="IS32" s="146"/>
    </row>
    <row r="33" spans="1:253" s="103" customFormat="1" ht="25.5" customHeight="1">
      <c r="A33" s="34">
        <v>21000000</v>
      </c>
      <c r="B33" s="106" t="s">
        <v>49</v>
      </c>
      <c r="C33" s="122">
        <f aca="true" t="shared" si="1" ref="C33:C41">D33</f>
        <v>185000</v>
      </c>
      <c r="D33" s="123">
        <f>D34+D36</f>
        <v>185000</v>
      </c>
      <c r="E33" s="123"/>
      <c r="F33" s="123"/>
      <c r="G33" s="102"/>
      <c r="H33" s="102"/>
      <c r="I33" s="102"/>
      <c r="J33" s="102"/>
      <c r="K33" s="102"/>
      <c r="L33" s="102"/>
      <c r="IK33" s="102"/>
      <c r="IL33" s="102"/>
      <c r="IM33" s="102"/>
      <c r="IN33" s="102"/>
      <c r="IO33" s="102"/>
      <c r="IP33" s="102"/>
      <c r="IQ33" s="102"/>
      <c r="IR33" s="102"/>
      <c r="IS33" s="102"/>
    </row>
    <row r="34" spans="1:253" s="103" customFormat="1" ht="90.75" customHeight="1">
      <c r="A34" s="34">
        <v>21010000</v>
      </c>
      <c r="B34" s="109" t="s">
        <v>164</v>
      </c>
      <c r="C34" s="122">
        <f t="shared" si="1"/>
        <v>35000</v>
      </c>
      <c r="D34" s="123">
        <f>D35</f>
        <v>35000</v>
      </c>
      <c r="E34" s="123"/>
      <c r="F34" s="123"/>
      <c r="G34" s="102"/>
      <c r="H34" s="102"/>
      <c r="I34" s="102"/>
      <c r="J34" s="102"/>
      <c r="K34" s="102"/>
      <c r="L34" s="102"/>
      <c r="IK34" s="102"/>
      <c r="IL34" s="102"/>
      <c r="IM34" s="102"/>
      <c r="IN34" s="102"/>
      <c r="IO34" s="102"/>
      <c r="IP34" s="102"/>
      <c r="IQ34" s="102"/>
      <c r="IR34" s="102"/>
      <c r="IS34" s="102"/>
    </row>
    <row r="35" spans="1:253" s="103" customFormat="1" ht="41.25" customHeight="1">
      <c r="A35" s="24">
        <v>21010300</v>
      </c>
      <c r="B35" s="110" t="s">
        <v>165</v>
      </c>
      <c r="C35" s="122">
        <f t="shared" si="1"/>
        <v>35000</v>
      </c>
      <c r="D35" s="123">
        <v>35000</v>
      </c>
      <c r="E35" s="123"/>
      <c r="F35" s="123"/>
      <c r="G35" s="102"/>
      <c r="H35" s="102"/>
      <c r="I35" s="102"/>
      <c r="J35" s="102"/>
      <c r="K35" s="102"/>
      <c r="L35" s="102"/>
      <c r="IK35" s="102"/>
      <c r="IL35" s="102"/>
      <c r="IM35" s="102"/>
      <c r="IN35" s="102"/>
      <c r="IO35" s="102"/>
      <c r="IP35" s="102"/>
      <c r="IQ35" s="102"/>
      <c r="IR35" s="102"/>
      <c r="IS35" s="102"/>
    </row>
    <row r="36" spans="1:253" s="103" customFormat="1" ht="41.25" customHeight="1">
      <c r="A36" s="34">
        <v>21050000</v>
      </c>
      <c r="B36" s="144" t="s">
        <v>330</v>
      </c>
      <c r="C36" s="122">
        <f t="shared" si="1"/>
        <v>150000</v>
      </c>
      <c r="D36" s="123">
        <v>150000</v>
      </c>
      <c r="E36" s="123"/>
      <c r="F36" s="123"/>
      <c r="G36" s="102"/>
      <c r="H36" s="102"/>
      <c r="I36" s="102"/>
      <c r="J36" s="102"/>
      <c r="K36" s="102"/>
      <c r="L36" s="102"/>
      <c r="IK36" s="102"/>
      <c r="IL36" s="102"/>
      <c r="IM36" s="102"/>
      <c r="IN36" s="102"/>
      <c r="IO36" s="102"/>
      <c r="IP36" s="102"/>
      <c r="IQ36" s="102"/>
      <c r="IR36" s="102"/>
      <c r="IS36" s="102"/>
    </row>
    <row r="37" spans="1:253" s="103" customFormat="1" ht="41.25" customHeight="1" hidden="1">
      <c r="A37" s="34">
        <v>21110000</v>
      </c>
      <c r="B37" s="144" t="s">
        <v>531</v>
      </c>
      <c r="C37" s="122">
        <v>0</v>
      </c>
      <c r="D37" s="123"/>
      <c r="E37" s="123">
        <v>0</v>
      </c>
      <c r="F37" s="123"/>
      <c r="G37" s="102"/>
      <c r="H37" s="102"/>
      <c r="I37" s="102"/>
      <c r="J37" s="102"/>
      <c r="K37" s="102"/>
      <c r="L37" s="102"/>
      <c r="IK37" s="102"/>
      <c r="IL37" s="102"/>
      <c r="IM37" s="102"/>
      <c r="IN37" s="102"/>
      <c r="IO37" s="102"/>
      <c r="IP37" s="102"/>
      <c r="IQ37" s="102"/>
      <c r="IR37" s="102"/>
      <c r="IS37" s="102"/>
    </row>
    <row r="38" spans="1:253" s="103" customFormat="1" ht="29.25" customHeight="1">
      <c r="A38" s="34">
        <v>22000000</v>
      </c>
      <c r="B38" s="106" t="s">
        <v>56</v>
      </c>
      <c r="C38" s="122">
        <f t="shared" si="1"/>
        <v>185000</v>
      </c>
      <c r="D38" s="123">
        <f>D39+D40+D41</f>
        <v>185000</v>
      </c>
      <c r="E38" s="123"/>
      <c r="F38" s="123"/>
      <c r="G38" s="102"/>
      <c r="H38" s="102"/>
      <c r="I38" s="102"/>
      <c r="J38" s="102"/>
      <c r="K38" s="102"/>
      <c r="L38" s="102"/>
      <c r="IK38" s="102"/>
      <c r="IL38" s="102"/>
      <c r="IM38" s="102"/>
      <c r="IN38" s="102"/>
      <c r="IO38" s="102"/>
      <c r="IP38" s="102"/>
      <c r="IQ38" s="102"/>
      <c r="IR38" s="102"/>
      <c r="IS38" s="102"/>
    </row>
    <row r="39" spans="1:253" s="36" customFormat="1" ht="42.75" customHeight="1">
      <c r="A39" s="24">
        <v>22010300</v>
      </c>
      <c r="B39" s="143" t="s">
        <v>331</v>
      </c>
      <c r="C39" s="124">
        <f t="shared" si="1"/>
        <v>20000</v>
      </c>
      <c r="D39" s="125">
        <v>20000</v>
      </c>
      <c r="E39" s="125"/>
      <c r="F39" s="125"/>
      <c r="G39" s="35"/>
      <c r="H39" s="35"/>
      <c r="I39" s="35"/>
      <c r="J39" s="35"/>
      <c r="K39" s="35"/>
      <c r="L39" s="35"/>
      <c r="IK39" s="35"/>
      <c r="IL39" s="35"/>
      <c r="IM39" s="35"/>
      <c r="IN39" s="35"/>
      <c r="IO39" s="35"/>
      <c r="IP39" s="35"/>
      <c r="IQ39" s="35"/>
      <c r="IR39" s="35"/>
      <c r="IS39" s="35"/>
    </row>
    <row r="40" spans="1:253" s="36" customFormat="1" ht="42.75" customHeight="1">
      <c r="A40" s="24">
        <v>22012600</v>
      </c>
      <c r="B40" s="111" t="s">
        <v>332</v>
      </c>
      <c r="C40" s="124">
        <f t="shared" si="1"/>
        <v>150000</v>
      </c>
      <c r="D40" s="125">
        <v>150000</v>
      </c>
      <c r="E40" s="125"/>
      <c r="F40" s="125"/>
      <c r="G40" s="35"/>
      <c r="H40" s="35"/>
      <c r="I40" s="35"/>
      <c r="J40" s="35"/>
      <c r="K40" s="35"/>
      <c r="L40" s="35"/>
      <c r="IK40" s="35"/>
      <c r="IL40" s="35"/>
      <c r="IM40" s="35"/>
      <c r="IN40" s="35"/>
      <c r="IO40" s="35"/>
      <c r="IP40" s="35"/>
      <c r="IQ40" s="35"/>
      <c r="IR40" s="35"/>
      <c r="IS40" s="35"/>
    </row>
    <row r="41" spans="1:253" s="36" customFormat="1" ht="40.5" customHeight="1">
      <c r="A41" s="24">
        <v>22080400</v>
      </c>
      <c r="B41" s="112" t="s">
        <v>166</v>
      </c>
      <c r="C41" s="124">
        <f t="shared" si="1"/>
        <v>15000</v>
      </c>
      <c r="D41" s="125">
        <v>15000</v>
      </c>
      <c r="E41" s="125"/>
      <c r="F41" s="125"/>
      <c r="G41" s="35"/>
      <c r="H41" s="35"/>
      <c r="I41" s="35"/>
      <c r="J41" s="35"/>
      <c r="K41" s="35"/>
      <c r="L41" s="35"/>
      <c r="IK41" s="35"/>
      <c r="IL41" s="35"/>
      <c r="IM41" s="35"/>
      <c r="IN41" s="35"/>
      <c r="IO41" s="35"/>
      <c r="IP41" s="35"/>
      <c r="IQ41" s="35"/>
      <c r="IR41" s="35"/>
      <c r="IS41" s="35"/>
    </row>
    <row r="42" spans="1:253" s="36" customFormat="1" ht="27" customHeight="1" hidden="1">
      <c r="A42" s="24">
        <v>23000000</v>
      </c>
      <c r="B42" s="107" t="s">
        <v>84</v>
      </c>
      <c r="C42" s="124"/>
      <c r="D42" s="125"/>
      <c r="E42" s="125"/>
      <c r="F42" s="125"/>
      <c r="G42" s="35"/>
      <c r="H42" s="35"/>
      <c r="I42" s="35"/>
      <c r="J42" s="35"/>
      <c r="K42" s="35"/>
      <c r="L42" s="35"/>
      <c r="IK42" s="35"/>
      <c r="IL42" s="35"/>
      <c r="IM42" s="35"/>
      <c r="IN42" s="35"/>
      <c r="IO42" s="35"/>
      <c r="IP42" s="35"/>
      <c r="IQ42" s="35"/>
      <c r="IR42" s="35"/>
      <c r="IS42" s="35"/>
    </row>
    <row r="43" spans="1:253" s="36" customFormat="1" ht="20.25" customHeight="1" hidden="1">
      <c r="A43" s="24" t="s">
        <v>78</v>
      </c>
      <c r="B43" s="107" t="s">
        <v>78</v>
      </c>
      <c r="C43" s="124"/>
      <c r="D43" s="125"/>
      <c r="E43" s="125"/>
      <c r="F43" s="125"/>
      <c r="G43" s="35"/>
      <c r="H43" s="35"/>
      <c r="I43" s="35"/>
      <c r="J43" s="35"/>
      <c r="K43" s="35"/>
      <c r="L43" s="35"/>
      <c r="IK43" s="35"/>
      <c r="IL43" s="35"/>
      <c r="IM43" s="35"/>
      <c r="IN43" s="35"/>
      <c r="IO43" s="35"/>
      <c r="IP43" s="35"/>
      <c r="IQ43" s="35"/>
      <c r="IR43" s="35"/>
      <c r="IS43" s="35"/>
    </row>
    <row r="44" spans="1:253" s="103" customFormat="1" ht="16.5" customHeight="1">
      <c r="A44" s="34">
        <v>24000000</v>
      </c>
      <c r="B44" s="106" t="s">
        <v>60</v>
      </c>
      <c r="C44" s="122">
        <f>D44</f>
        <v>10000</v>
      </c>
      <c r="D44" s="123">
        <f>D45</f>
        <v>10000</v>
      </c>
      <c r="E44" s="123"/>
      <c r="F44" s="123"/>
      <c r="G44" s="102"/>
      <c r="H44" s="102"/>
      <c r="I44" s="102"/>
      <c r="J44" s="102"/>
      <c r="K44" s="102"/>
      <c r="L44" s="102"/>
      <c r="IK44" s="102"/>
      <c r="IL44" s="102"/>
      <c r="IM44" s="102"/>
      <c r="IN44" s="102"/>
      <c r="IO44" s="102"/>
      <c r="IP44" s="102"/>
      <c r="IQ44" s="102"/>
      <c r="IR44" s="102"/>
      <c r="IS44" s="102"/>
    </row>
    <row r="45" spans="1:253" s="36" customFormat="1" ht="15" customHeight="1">
      <c r="A45" s="24">
        <v>24060000</v>
      </c>
      <c r="B45" s="107" t="s">
        <v>167</v>
      </c>
      <c r="C45" s="124">
        <f>D45</f>
        <v>10000</v>
      </c>
      <c r="D45" s="124">
        <f>D46</f>
        <v>10000</v>
      </c>
      <c r="E45" s="124"/>
      <c r="F45" s="124"/>
      <c r="G45" s="35"/>
      <c r="H45" s="35"/>
      <c r="I45" s="35"/>
      <c r="J45" s="35"/>
      <c r="K45" s="35"/>
      <c r="L45" s="35"/>
      <c r="IK45" s="35"/>
      <c r="IL45" s="35"/>
      <c r="IM45" s="35"/>
      <c r="IN45" s="35"/>
      <c r="IO45" s="35"/>
      <c r="IP45" s="35"/>
      <c r="IQ45" s="35"/>
      <c r="IR45" s="35"/>
      <c r="IS45" s="35"/>
    </row>
    <row r="46" spans="1:253" s="36" customFormat="1" ht="15" customHeight="1">
      <c r="A46" s="24">
        <v>24060300</v>
      </c>
      <c r="B46" s="107" t="s">
        <v>167</v>
      </c>
      <c r="C46" s="124"/>
      <c r="D46" s="124">
        <v>10000</v>
      </c>
      <c r="E46" s="124"/>
      <c r="F46" s="124"/>
      <c r="G46" s="35"/>
      <c r="H46" s="35"/>
      <c r="I46" s="35"/>
      <c r="J46" s="35"/>
      <c r="K46" s="35"/>
      <c r="L46" s="35"/>
      <c r="IK46" s="35"/>
      <c r="IL46" s="35"/>
      <c r="IM46" s="35"/>
      <c r="IN46" s="35"/>
      <c r="IO46" s="35"/>
      <c r="IP46" s="35"/>
      <c r="IQ46" s="35"/>
      <c r="IR46" s="35"/>
      <c r="IS46" s="35"/>
    </row>
    <row r="47" spans="1:253" s="103" customFormat="1" ht="13.5" customHeight="1">
      <c r="A47" s="34">
        <v>25000000</v>
      </c>
      <c r="B47" s="106" t="s">
        <v>85</v>
      </c>
      <c r="C47" s="122">
        <f>E47</f>
        <v>746600</v>
      </c>
      <c r="D47" s="122"/>
      <c r="E47" s="122">
        <f>E48</f>
        <v>746600</v>
      </c>
      <c r="F47" s="122"/>
      <c r="G47" s="102"/>
      <c r="H47" s="102"/>
      <c r="I47" s="102"/>
      <c r="J47" s="102"/>
      <c r="K47" s="102"/>
      <c r="L47" s="102"/>
      <c r="IK47" s="102"/>
      <c r="IL47" s="102"/>
      <c r="IM47" s="102"/>
      <c r="IN47" s="102"/>
      <c r="IO47" s="102"/>
      <c r="IP47" s="102"/>
      <c r="IQ47" s="102"/>
      <c r="IR47" s="102"/>
      <c r="IS47" s="102"/>
    </row>
    <row r="48" spans="1:253" s="103" customFormat="1" ht="41.25" customHeight="1">
      <c r="A48" s="34">
        <v>25010000</v>
      </c>
      <c r="B48" s="111" t="s">
        <v>168</v>
      </c>
      <c r="C48" s="122">
        <f>E48+F48</f>
        <v>746600</v>
      </c>
      <c r="D48" s="122"/>
      <c r="E48" s="122">
        <f>E49+E50</f>
        <v>746600</v>
      </c>
      <c r="F48" s="122"/>
      <c r="G48" s="102"/>
      <c r="H48" s="102"/>
      <c r="I48" s="102"/>
      <c r="J48" s="102"/>
      <c r="K48" s="102"/>
      <c r="L48" s="102"/>
      <c r="IK48" s="102"/>
      <c r="IL48" s="102"/>
      <c r="IM48" s="102"/>
      <c r="IN48" s="102"/>
      <c r="IO48" s="102"/>
      <c r="IP48" s="102"/>
      <c r="IQ48" s="102"/>
      <c r="IR48" s="102"/>
      <c r="IS48" s="102"/>
    </row>
    <row r="49" spans="1:253" s="103" customFormat="1" ht="25.5" customHeight="1">
      <c r="A49" s="34">
        <v>25010100</v>
      </c>
      <c r="B49" s="112" t="s">
        <v>169</v>
      </c>
      <c r="C49" s="122">
        <f>E49+F49</f>
        <v>727600</v>
      </c>
      <c r="D49" s="122"/>
      <c r="E49" s="122">
        <f>375000+332600+10000+10000</f>
        <v>727600</v>
      </c>
      <c r="F49" s="122"/>
      <c r="G49" s="102"/>
      <c r="H49" s="102"/>
      <c r="I49" s="102"/>
      <c r="J49" s="102"/>
      <c r="K49" s="102"/>
      <c r="L49" s="102"/>
      <c r="IK49" s="102"/>
      <c r="IL49" s="102"/>
      <c r="IM49" s="102"/>
      <c r="IN49" s="102"/>
      <c r="IO49" s="102"/>
      <c r="IP49" s="102"/>
      <c r="IQ49" s="102"/>
      <c r="IR49" s="102"/>
      <c r="IS49" s="102"/>
    </row>
    <row r="50" spans="1:253" s="103" customFormat="1" ht="24.75" customHeight="1">
      <c r="A50" s="34">
        <v>25010200</v>
      </c>
      <c r="B50" s="112" t="s">
        <v>170</v>
      </c>
      <c r="C50" s="122">
        <f>E50+F50</f>
        <v>19000</v>
      </c>
      <c r="D50" s="122"/>
      <c r="E50" s="122">
        <v>19000</v>
      </c>
      <c r="F50" s="122"/>
      <c r="G50" s="102"/>
      <c r="H50" s="102"/>
      <c r="I50" s="102"/>
      <c r="J50" s="102"/>
      <c r="K50" s="102"/>
      <c r="L50" s="102"/>
      <c r="IK50" s="102"/>
      <c r="IL50" s="102"/>
      <c r="IM50" s="102"/>
      <c r="IN50" s="102"/>
      <c r="IO50" s="102"/>
      <c r="IP50" s="102"/>
      <c r="IQ50" s="102"/>
      <c r="IR50" s="102"/>
      <c r="IS50" s="102"/>
    </row>
    <row r="51" spans="1:253" s="31" customFormat="1" ht="20.25" customHeight="1" hidden="1">
      <c r="A51" s="34">
        <v>30000000</v>
      </c>
      <c r="B51" s="105" t="s">
        <v>61</v>
      </c>
      <c r="C51" s="124"/>
      <c r="D51" s="124"/>
      <c r="E51" s="124"/>
      <c r="F51" s="124"/>
      <c r="G51" s="4"/>
      <c r="H51" s="4"/>
      <c r="I51" s="4"/>
      <c r="J51" s="4"/>
      <c r="K51" s="4"/>
      <c r="L51" s="4"/>
      <c r="IK51" s="4"/>
      <c r="IL51" s="4"/>
      <c r="IM51" s="4"/>
      <c r="IN51" s="4"/>
      <c r="IO51" s="4"/>
      <c r="IP51" s="4"/>
      <c r="IQ51" s="4"/>
      <c r="IR51" s="4"/>
      <c r="IS51" s="4"/>
    </row>
    <row r="52" spans="1:253" s="36" customFormat="1" ht="26.25" customHeight="1" hidden="1">
      <c r="A52" s="24">
        <v>31000000</v>
      </c>
      <c r="B52" s="107" t="s">
        <v>62</v>
      </c>
      <c r="C52" s="124"/>
      <c r="D52" s="125"/>
      <c r="E52" s="125"/>
      <c r="F52" s="125"/>
      <c r="G52" s="35"/>
      <c r="H52" s="35"/>
      <c r="I52" s="35"/>
      <c r="J52" s="35"/>
      <c r="K52" s="35"/>
      <c r="L52" s="35"/>
      <c r="IK52" s="35"/>
      <c r="IL52" s="35"/>
      <c r="IM52" s="35"/>
      <c r="IN52" s="35"/>
      <c r="IO52" s="35"/>
      <c r="IP52" s="35"/>
      <c r="IQ52" s="35"/>
      <c r="IR52" s="35"/>
      <c r="IS52" s="35"/>
    </row>
    <row r="53" spans="1:253" s="36" customFormat="1" ht="20.25" customHeight="1" hidden="1">
      <c r="A53" s="24" t="s">
        <v>78</v>
      </c>
      <c r="B53" s="107" t="s">
        <v>78</v>
      </c>
      <c r="C53" s="124"/>
      <c r="D53" s="125"/>
      <c r="E53" s="125"/>
      <c r="F53" s="125"/>
      <c r="G53" s="35"/>
      <c r="H53" s="35"/>
      <c r="I53" s="35"/>
      <c r="J53" s="35"/>
      <c r="K53" s="35"/>
      <c r="L53" s="35"/>
      <c r="IK53" s="35"/>
      <c r="IL53" s="35"/>
      <c r="IM53" s="35"/>
      <c r="IN53" s="35"/>
      <c r="IO53" s="35"/>
      <c r="IP53" s="35"/>
      <c r="IQ53" s="35"/>
      <c r="IR53" s="35"/>
      <c r="IS53" s="35"/>
    </row>
    <row r="54" spans="1:253" s="36" customFormat="1" ht="27.75" customHeight="1" hidden="1">
      <c r="A54" s="24">
        <v>32000000</v>
      </c>
      <c r="B54" s="107" t="s">
        <v>63</v>
      </c>
      <c r="C54" s="124"/>
      <c r="D54" s="125"/>
      <c r="E54" s="125"/>
      <c r="F54" s="125"/>
      <c r="G54" s="35"/>
      <c r="H54" s="35"/>
      <c r="I54" s="35"/>
      <c r="J54" s="35"/>
      <c r="K54" s="35"/>
      <c r="L54" s="35"/>
      <c r="IK54" s="35"/>
      <c r="IL54" s="35"/>
      <c r="IM54" s="35"/>
      <c r="IN54" s="35"/>
      <c r="IO54" s="35"/>
      <c r="IP54" s="35"/>
      <c r="IQ54" s="35"/>
      <c r="IR54" s="35"/>
      <c r="IS54" s="35"/>
    </row>
    <row r="55" spans="1:253" s="36" customFormat="1" ht="20.25" customHeight="1" hidden="1">
      <c r="A55" s="24" t="s">
        <v>78</v>
      </c>
      <c r="B55" s="107" t="s">
        <v>78</v>
      </c>
      <c r="C55" s="124"/>
      <c r="D55" s="125"/>
      <c r="E55" s="125"/>
      <c r="F55" s="125"/>
      <c r="G55" s="35"/>
      <c r="H55" s="35"/>
      <c r="I55" s="35"/>
      <c r="J55" s="35"/>
      <c r="K55" s="35"/>
      <c r="L55" s="35"/>
      <c r="IK55" s="35"/>
      <c r="IL55" s="35"/>
      <c r="IM55" s="35"/>
      <c r="IN55" s="35"/>
      <c r="IO55" s="35"/>
      <c r="IP55" s="35"/>
      <c r="IQ55" s="35"/>
      <c r="IR55" s="35"/>
      <c r="IS55" s="35"/>
    </row>
    <row r="56" spans="1:253" s="36" customFormat="1" ht="31.5" customHeight="1" hidden="1">
      <c r="A56" s="24">
        <v>33000000</v>
      </c>
      <c r="B56" s="107" t="s">
        <v>86</v>
      </c>
      <c r="C56" s="124"/>
      <c r="D56" s="125"/>
      <c r="E56" s="125"/>
      <c r="F56" s="125"/>
      <c r="G56" s="35"/>
      <c r="H56" s="35"/>
      <c r="I56" s="35"/>
      <c r="J56" s="35"/>
      <c r="K56" s="35"/>
      <c r="L56" s="35"/>
      <c r="IK56" s="35"/>
      <c r="IL56" s="35"/>
      <c r="IM56" s="35"/>
      <c r="IN56" s="35"/>
      <c r="IO56" s="35"/>
      <c r="IP56" s="35"/>
      <c r="IQ56" s="35"/>
      <c r="IR56" s="35"/>
      <c r="IS56" s="35"/>
    </row>
    <row r="57" spans="1:253" s="36" customFormat="1" ht="20.25" customHeight="1" hidden="1">
      <c r="A57" s="24" t="s">
        <v>78</v>
      </c>
      <c r="B57" s="107" t="s">
        <v>78</v>
      </c>
      <c r="C57" s="124"/>
      <c r="D57" s="125"/>
      <c r="E57" s="125"/>
      <c r="F57" s="125"/>
      <c r="G57" s="35"/>
      <c r="H57" s="35"/>
      <c r="I57" s="35"/>
      <c r="J57" s="35"/>
      <c r="K57" s="35"/>
      <c r="L57" s="35"/>
      <c r="IK57" s="35"/>
      <c r="IL57" s="35"/>
      <c r="IM57" s="35"/>
      <c r="IN57" s="35"/>
      <c r="IO57" s="35"/>
      <c r="IP57" s="35"/>
      <c r="IQ57" s="35"/>
      <c r="IR57" s="35"/>
      <c r="IS57" s="35"/>
    </row>
    <row r="58" spans="1:253" s="33" customFormat="1" ht="13.5" customHeight="1">
      <c r="A58" s="34">
        <v>40000000</v>
      </c>
      <c r="B58" s="105" t="s">
        <v>43</v>
      </c>
      <c r="C58" s="122">
        <f>C59</f>
        <v>302869954.29</v>
      </c>
      <c r="D58" s="128">
        <f>D59</f>
        <v>301037496.29</v>
      </c>
      <c r="E58" s="126">
        <f>E59</f>
        <v>1832458</v>
      </c>
      <c r="F58" s="126">
        <f>F59</f>
        <v>1832458</v>
      </c>
      <c r="G58" s="32"/>
      <c r="H58" s="32"/>
      <c r="I58" s="32"/>
      <c r="J58" s="32"/>
      <c r="K58" s="32"/>
      <c r="L58" s="32"/>
      <c r="IK58" s="32"/>
      <c r="IL58" s="32"/>
      <c r="IM58" s="32"/>
      <c r="IN58" s="32"/>
      <c r="IO58" s="32"/>
      <c r="IP58" s="32"/>
      <c r="IQ58" s="32"/>
      <c r="IR58" s="32"/>
      <c r="IS58" s="32"/>
    </row>
    <row r="59" spans="1:253" s="103" customFormat="1" ht="15.75" customHeight="1">
      <c r="A59" s="34">
        <v>41000000</v>
      </c>
      <c r="B59" s="106" t="s">
        <v>87</v>
      </c>
      <c r="C59" s="122">
        <f>C62+C65</f>
        <v>302869954.29</v>
      </c>
      <c r="D59" s="122">
        <f>D62+D65</f>
        <v>301037496.29</v>
      </c>
      <c r="E59" s="123">
        <f>E65</f>
        <v>1832458</v>
      </c>
      <c r="F59" s="123">
        <f>F65</f>
        <v>1832458</v>
      </c>
      <c r="G59" s="102"/>
      <c r="H59" s="102"/>
      <c r="I59" s="102"/>
      <c r="J59" s="102"/>
      <c r="K59" s="102"/>
      <c r="L59" s="102"/>
      <c r="IK59" s="102"/>
      <c r="IL59" s="102"/>
      <c r="IM59" s="102"/>
      <c r="IN59" s="102"/>
      <c r="IO59" s="102"/>
      <c r="IP59" s="102"/>
      <c r="IQ59" s="102"/>
      <c r="IR59" s="102"/>
      <c r="IS59" s="102"/>
    </row>
    <row r="60" spans="1:253" s="36" customFormat="1" ht="13.5" customHeight="1" hidden="1">
      <c r="A60" s="24">
        <v>41010000</v>
      </c>
      <c r="B60" s="107" t="s">
        <v>88</v>
      </c>
      <c r="C60" s="124"/>
      <c r="D60" s="125"/>
      <c r="E60" s="125"/>
      <c r="F60" s="125"/>
      <c r="G60" s="35"/>
      <c r="H60" s="35"/>
      <c r="I60" s="35"/>
      <c r="J60" s="35"/>
      <c r="K60" s="35"/>
      <c r="L60" s="35"/>
      <c r="IK60" s="35"/>
      <c r="IL60" s="35"/>
      <c r="IM60" s="35"/>
      <c r="IN60" s="35"/>
      <c r="IO60" s="35"/>
      <c r="IP60" s="35"/>
      <c r="IQ60" s="35"/>
      <c r="IR60" s="35"/>
      <c r="IS60" s="35"/>
    </row>
    <row r="61" spans="1:253" s="36" customFormat="1" ht="20.25" customHeight="1" hidden="1">
      <c r="A61" s="24" t="s">
        <v>89</v>
      </c>
      <c r="B61" s="107" t="s">
        <v>90</v>
      </c>
      <c r="C61" s="124"/>
      <c r="D61" s="125"/>
      <c r="E61" s="125"/>
      <c r="F61" s="125"/>
      <c r="G61" s="35"/>
      <c r="H61" s="35"/>
      <c r="I61" s="35"/>
      <c r="J61" s="35"/>
      <c r="K61" s="35"/>
      <c r="L61" s="35"/>
      <c r="IK61" s="35"/>
      <c r="IL61" s="35"/>
      <c r="IM61" s="35"/>
      <c r="IN61" s="35"/>
      <c r="IO61" s="35"/>
      <c r="IP61" s="35"/>
      <c r="IQ61" s="35"/>
      <c r="IR61" s="35"/>
      <c r="IS61" s="35"/>
    </row>
    <row r="62" spans="1:253" s="103" customFormat="1" ht="12.75" customHeight="1">
      <c r="A62" s="34">
        <v>41020000</v>
      </c>
      <c r="B62" s="106" t="s">
        <v>91</v>
      </c>
      <c r="C62" s="122">
        <f>C63+C64</f>
        <v>31605483.2</v>
      </c>
      <c r="D62" s="122">
        <f>D63+D64</f>
        <v>31605483.2</v>
      </c>
      <c r="E62" s="122"/>
      <c r="F62" s="122"/>
      <c r="G62" s="102"/>
      <c r="H62" s="102"/>
      <c r="I62" s="102"/>
      <c r="J62" s="102"/>
      <c r="K62" s="102"/>
      <c r="L62" s="102"/>
      <c r="IK62" s="102"/>
      <c r="IL62" s="102"/>
      <c r="IM62" s="102"/>
      <c r="IN62" s="102"/>
      <c r="IO62" s="102"/>
      <c r="IP62" s="102"/>
      <c r="IQ62" s="102"/>
      <c r="IR62" s="102"/>
      <c r="IS62" s="102"/>
    </row>
    <row r="63" spans="1:253" s="36" customFormat="1" ht="16.5" customHeight="1">
      <c r="A63" s="24">
        <v>41020100</v>
      </c>
      <c r="B63" s="107" t="s">
        <v>171</v>
      </c>
      <c r="C63" s="124">
        <f>D63</f>
        <v>12390700</v>
      </c>
      <c r="D63" s="124">
        <v>12390700</v>
      </c>
      <c r="E63" s="124"/>
      <c r="F63" s="124"/>
      <c r="G63" s="35"/>
      <c r="H63" s="35"/>
      <c r="I63" s="35"/>
      <c r="J63" s="35"/>
      <c r="K63" s="35"/>
      <c r="L63" s="35"/>
      <c r="IK63" s="35"/>
      <c r="IL63" s="35"/>
      <c r="IM63" s="35"/>
      <c r="IN63" s="35"/>
      <c r="IO63" s="35"/>
      <c r="IP63" s="35"/>
      <c r="IQ63" s="35"/>
      <c r="IR63" s="35"/>
      <c r="IS63" s="35"/>
    </row>
    <row r="64" spans="1:253" s="36" customFormat="1" ht="52.5" customHeight="1">
      <c r="A64" s="24">
        <v>41020200</v>
      </c>
      <c r="B64" s="114" t="s">
        <v>527</v>
      </c>
      <c r="C64" s="503">
        <f>D64</f>
        <v>19214783.2</v>
      </c>
      <c r="D64" s="474">
        <f>16405700+5311000-1316200-1185716.8</f>
        <v>19214783.2</v>
      </c>
      <c r="E64" s="125"/>
      <c r="F64" s="125"/>
      <c r="G64" s="35"/>
      <c r="H64" s="35"/>
      <c r="I64" s="35"/>
      <c r="J64" s="35"/>
      <c r="K64" s="35"/>
      <c r="L64" s="35"/>
      <c r="IK64" s="35"/>
      <c r="IL64" s="35"/>
      <c r="IM64" s="35"/>
      <c r="IN64" s="35"/>
      <c r="IO64" s="35"/>
      <c r="IP64" s="35"/>
      <c r="IQ64" s="35"/>
      <c r="IR64" s="35"/>
      <c r="IS64" s="35"/>
    </row>
    <row r="65" spans="1:253" s="103" customFormat="1" ht="14.25" customHeight="1">
      <c r="A65" s="34">
        <v>41030000</v>
      </c>
      <c r="B65" s="106" t="s">
        <v>92</v>
      </c>
      <c r="C65" s="122">
        <f>C66+C67+C68+C70+C71+C74+C79+C73+C69+C72</f>
        <v>271264471.09000003</v>
      </c>
      <c r="D65" s="122">
        <f>D66+D67+D68+D70+D71+D74+D79+D73+D69+D72</f>
        <v>269432013.09000003</v>
      </c>
      <c r="E65" s="123">
        <f>E79</f>
        <v>1832458</v>
      </c>
      <c r="F65" s="123">
        <f>F79</f>
        <v>1832458</v>
      </c>
      <c r="G65" s="102"/>
      <c r="H65" s="102"/>
      <c r="I65" s="102"/>
      <c r="J65" s="102"/>
      <c r="K65" s="102"/>
      <c r="L65" s="102"/>
      <c r="IK65" s="102"/>
      <c r="IL65" s="102"/>
      <c r="IM65" s="102"/>
      <c r="IN65" s="102"/>
      <c r="IO65" s="102"/>
      <c r="IP65" s="102"/>
      <c r="IQ65" s="102"/>
      <c r="IR65" s="102"/>
      <c r="IS65" s="102"/>
    </row>
    <row r="66" spans="1:253" s="36" customFormat="1" ht="81" customHeight="1">
      <c r="A66" s="24">
        <v>41030600</v>
      </c>
      <c r="B66" s="113" t="s">
        <v>172</v>
      </c>
      <c r="C66" s="124">
        <f aca="true" t="shared" si="2" ref="C66:C74">D66</f>
        <v>97771600</v>
      </c>
      <c r="D66" s="125">
        <v>97771600</v>
      </c>
      <c r="E66" s="125"/>
      <c r="F66" s="125"/>
      <c r="G66" s="35"/>
      <c r="H66" s="35"/>
      <c r="I66" s="35"/>
      <c r="J66" s="35"/>
      <c r="K66" s="35"/>
      <c r="L66" s="35"/>
      <c r="IK66" s="35"/>
      <c r="IL66" s="35"/>
      <c r="IM66" s="35"/>
      <c r="IN66" s="35"/>
      <c r="IO66" s="35"/>
      <c r="IP66" s="35"/>
      <c r="IQ66" s="35"/>
      <c r="IR66" s="35"/>
      <c r="IS66" s="35"/>
    </row>
    <row r="67" spans="1:253" s="36" customFormat="1" ht="90.75" customHeight="1">
      <c r="A67" s="24">
        <v>41030800</v>
      </c>
      <c r="B67" s="113" t="s">
        <v>173</v>
      </c>
      <c r="C67" s="124">
        <f t="shared" si="2"/>
        <v>42889800</v>
      </c>
      <c r="D67" s="125">
        <v>42889800</v>
      </c>
      <c r="E67" s="125"/>
      <c r="F67" s="125"/>
      <c r="G67" s="35"/>
      <c r="H67" s="35"/>
      <c r="I67" s="35"/>
      <c r="J67" s="35"/>
      <c r="K67" s="35"/>
      <c r="L67" s="35"/>
      <c r="IK67" s="35"/>
      <c r="IL67" s="35"/>
      <c r="IM67" s="35"/>
      <c r="IN67" s="35"/>
      <c r="IO67" s="35"/>
      <c r="IP67" s="35"/>
      <c r="IQ67" s="35"/>
      <c r="IR67" s="35"/>
      <c r="IS67" s="35"/>
    </row>
    <row r="68" spans="1:253" s="36" customFormat="1" ht="52.5" customHeight="1">
      <c r="A68" s="24">
        <v>41031000</v>
      </c>
      <c r="B68" s="114" t="s">
        <v>174</v>
      </c>
      <c r="C68" s="124">
        <f t="shared" si="2"/>
        <v>17117200</v>
      </c>
      <c r="D68" s="125">
        <v>17117200</v>
      </c>
      <c r="E68" s="125"/>
      <c r="F68" s="125"/>
      <c r="G68" s="35"/>
      <c r="H68" s="35"/>
      <c r="I68" s="35"/>
      <c r="J68" s="35"/>
      <c r="K68" s="35"/>
      <c r="L68" s="35"/>
      <c r="IK68" s="35"/>
      <c r="IL68" s="35"/>
      <c r="IM68" s="35"/>
      <c r="IN68" s="35"/>
      <c r="IO68" s="35"/>
      <c r="IP68" s="35"/>
      <c r="IQ68" s="35"/>
      <c r="IR68" s="35"/>
      <c r="IS68" s="35"/>
    </row>
    <row r="69" spans="1:253" s="36" customFormat="1" ht="40.5" customHeight="1">
      <c r="A69" s="24">
        <v>41033600</v>
      </c>
      <c r="B69" s="114" t="s">
        <v>239</v>
      </c>
      <c r="C69" s="124">
        <f t="shared" si="2"/>
        <v>653389</v>
      </c>
      <c r="D69" s="125">
        <v>653389</v>
      </c>
      <c r="E69" s="125"/>
      <c r="F69" s="125"/>
      <c r="G69" s="35"/>
      <c r="H69" s="35"/>
      <c r="I69" s="35"/>
      <c r="J69" s="35"/>
      <c r="K69" s="35"/>
      <c r="L69" s="35"/>
      <c r="IK69" s="35"/>
      <c r="IL69" s="35"/>
      <c r="IM69" s="35"/>
      <c r="IN69" s="35"/>
      <c r="IO69" s="35"/>
      <c r="IP69" s="35"/>
      <c r="IQ69" s="35"/>
      <c r="IR69" s="35"/>
      <c r="IS69" s="35"/>
    </row>
    <row r="70" spans="1:253" s="36" customFormat="1" ht="27.75" customHeight="1">
      <c r="A70" s="24">
        <v>41033900</v>
      </c>
      <c r="B70" s="114" t="s">
        <v>175</v>
      </c>
      <c r="C70" s="503">
        <f t="shared" si="2"/>
        <v>71396959.28</v>
      </c>
      <c r="D70" s="474">
        <f>60759600+19597800-3832212.67-5128228.05</f>
        <v>71396959.28</v>
      </c>
      <c r="E70" s="125"/>
      <c r="F70" s="125"/>
      <c r="G70" s="35"/>
      <c r="H70" s="35"/>
      <c r="I70" s="35"/>
      <c r="J70" s="35"/>
      <c r="K70" s="35"/>
      <c r="L70" s="35"/>
      <c r="IK70" s="35"/>
      <c r="IL70" s="35"/>
      <c r="IM70" s="35"/>
      <c r="IN70" s="35"/>
      <c r="IO70" s="35"/>
      <c r="IP70" s="35"/>
      <c r="IQ70" s="35"/>
      <c r="IR70" s="35"/>
      <c r="IS70" s="35"/>
    </row>
    <row r="71" spans="1:253" s="36" customFormat="1" ht="27.75" customHeight="1">
      <c r="A71" s="24">
        <v>41034200</v>
      </c>
      <c r="B71" s="114" t="s">
        <v>176</v>
      </c>
      <c r="C71" s="124">
        <f t="shared" si="2"/>
        <v>28533139</v>
      </c>
      <c r="D71" s="125">
        <f>25360000+2768130+405009</f>
        <v>28533139</v>
      </c>
      <c r="E71" s="125"/>
      <c r="F71" s="125"/>
      <c r="G71" s="35"/>
      <c r="H71" s="35"/>
      <c r="I71" s="35"/>
      <c r="J71" s="35"/>
      <c r="K71" s="35"/>
      <c r="L71" s="35"/>
      <c r="IK71" s="35"/>
      <c r="IL71" s="35"/>
      <c r="IM71" s="35"/>
      <c r="IN71" s="35"/>
      <c r="IO71" s="35"/>
      <c r="IP71" s="35"/>
      <c r="IQ71" s="35"/>
      <c r="IR71" s="35"/>
      <c r="IS71" s="35"/>
    </row>
    <row r="72" spans="1:253" s="36" customFormat="1" ht="41.25" customHeight="1">
      <c r="A72" s="24">
        <v>41034500</v>
      </c>
      <c r="B72" s="114" t="s">
        <v>352</v>
      </c>
      <c r="C72" s="124">
        <f>D72</f>
        <v>3250000</v>
      </c>
      <c r="D72" s="125">
        <v>3250000</v>
      </c>
      <c r="E72" s="125"/>
      <c r="F72" s="125"/>
      <c r="G72" s="35"/>
      <c r="H72" s="35"/>
      <c r="I72" s="35"/>
      <c r="J72" s="35"/>
      <c r="K72" s="35"/>
      <c r="L72" s="35"/>
      <c r="IK72" s="35"/>
      <c r="IL72" s="35"/>
      <c r="IM72" s="35"/>
      <c r="IN72" s="35"/>
      <c r="IO72" s="35"/>
      <c r="IP72" s="35"/>
      <c r="IQ72" s="35"/>
      <c r="IR72" s="35"/>
      <c r="IS72" s="35"/>
    </row>
    <row r="73" spans="1:253" s="36" customFormat="1" ht="45" customHeight="1">
      <c r="A73" s="24">
        <v>41035400</v>
      </c>
      <c r="B73" s="114" t="s">
        <v>238</v>
      </c>
      <c r="C73" s="124">
        <f>D73</f>
        <v>122200</v>
      </c>
      <c r="D73" s="125">
        <v>122200</v>
      </c>
      <c r="E73" s="125"/>
      <c r="F73" s="125"/>
      <c r="G73" s="35"/>
      <c r="H73" s="35"/>
      <c r="I73" s="35"/>
      <c r="J73" s="35"/>
      <c r="K73" s="35"/>
      <c r="L73" s="35"/>
      <c r="IK73" s="35"/>
      <c r="IL73" s="35"/>
      <c r="IM73" s="35"/>
      <c r="IN73" s="35"/>
      <c r="IO73" s="35"/>
      <c r="IP73" s="35"/>
      <c r="IQ73" s="35"/>
      <c r="IR73" s="35"/>
      <c r="IS73" s="35"/>
    </row>
    <row r="74" spans="1:253" s="36" customFormat="1" ht="150" customHeight="1">
      <c r="A74" s="24">
        <v>41035800</v>
      </c>
      <c r="B74" s="115" t="s">
        <v>503</v>
      </c>
      <c r="C74" s="124">
        <f t="shared" si="2"/>
        <v>2303600</v>
      </c>
      <c r="D74" s="125">
        <v>2303600</v>
      </c>
      <c r="E74" s="125"/>
      <c r="F74" s="125"/>
      <c r="G74" s="35"/>
      <c r="H74" s="35"/>
      <c r="I74" s="35"/>
      <c r="J74" s="35"/>
      <c r="K74" s="35"/>
      <c r="L74" s="35"/>
      <c r="IK74" s="35"/>
      <c r="IL74" s="35"/>
      <c r="IM74" s="35"/>
      <c r="IN74" s="35"/>
      <c r="IO74" s="35"/>
      <c r="IP74" s="35"/>
      <c r="IQ74" s="35"/>
      <c r="IR74" s="35"/>
      <c r="IS74" s="35"/>
    </row>
    <row r="75" spans="1:253" s="36" customFormat="1" ht="29.25" customHeight="1" hidden="1">
      <c r="A75" s="24">
        <v>42000000</v>
      </c>
      <c r="B75" s="107" t="s">
        <v>64</v>
      </c>
      <c r="C75" s="124"/>
      <c r="D75" s="125"/>
      <c r="E75" s="125"/>
      <c r="F75" s="125"/>
      <c r="G75" s="35"/>
      <c r="H75" s="35"/>
      <c r="I75" s="35"/>
      <c r="J75" s="35"/>
      <c r="K75" s="35"/>
      <c r="L75" s="35"/>
      <c r="IK75" s="35"/>
      <c r="IL75" s="35"/>
      <c r="IM75" s="35"/>
      <c r="IN75" s="35"/>
      <c r="IO75" s="35"/>
      <c r="IP75" s="35"/>
      <c r="IQ75" s="35"/>
      <c r="IR75" s="35"/>
      <c r="IS75" s="35"/>
    </row>
    <row r="76" spans="1:253" s="36" customFormat="1" ht="20.25" customHeight="1" hidden="1">
      <c r="A76" s="24" t="s">
        <v>90</v>
      </c>
      <c r="B76" s="107" t="s">
        <v>90</v>
      </c>
      <c r="C76" s="124"/>
      <c r="D76" s="125"/>
      <c r="E76" s="125"/>
      <c r="F76" s="125"/>
      <c r="G76" s="35"/>
      <c r="H76" s="35"/>
      <c r="I76" s="35"/>
      <c r="J76" s="35"/>
      <c r="K76" s="35"/>
      <c r="L76" s="35"/>
      <c r="IK76" s="35"/>
      <c r="IL76" s="35"/>
      <c r="IM76" s="35"/>
      <c r="IN76" s="35"/>
      <c r="IO76" s="35"/>
      <c r="IP76" s="35"/>
      <c r="IQ76" s="35"/>
      <c r="IR76" s="35"/>
      <c r="IS76" s="35"/>
    </row>
    <row r="77" spans="1:253" s="31" customFormat="1" ht="20.25" customHeight="1" hidden="1">
      <c r="A77" s="34">
        <v>50000000</v>
      </c>
      <c r="B77" s="105" t="s">
        <v>57</v>
      </c>
      <c r="C77" s="124"/>
      <c r="D77" s="125"/>
      <c r="E77" s="125"/>
      <c r="F77" s="125"/>
      <c r="G77" s="4"/>
      <c r="H77" s="4"/>
      <c r="I77" s="4"/>
      <c r="J77" s="4"/>
      <c r="K77" s="4"/>
      <c r="L77" s="4"/>
      <c r="IK77" s="4"/>
      <c r="IL77" s="4"/>
      <c r="IM77" s="4"/>
      <c r="IN77" s="4"/>
      <c r="IO77" s="4"/>
      <c r="IP77" s="4"/>
      <c r="IQ77" s="4"/>
      <c r="IR77" s="4"/>
      <c r="IS77" s="4"/>
    </row>
    <row r="78" spans="1:253" s="31" customFormat="1" ht="20.25" customHeight="1" hidden="1">
      <c r="A78" s="24" t="s">
        <v>90</v>
      </c>
      <c r="B78" s="24" t="s">
        <v>90</v>
      </c>
      <c r="C78" s="127"/>
      <c r="D78" s="126"/>
      <c r="E78" s="126"/>
      <c r="F78" s="126"/>
      <c r="G78" s="4"/>
      <c r="H78" s="4"/>
      <c r="I78" s="4"/>
      <c r="J78" s="4"/>
      <c r="K78" s="4"/>
      <c r="L78" s="4"/>
      <c r="IK78" s="4"/>
      <c r="IL78" s="4"/>
      <c r="IM78" s="4"/>
      <c r="IN78" s="4"/>
      <c r="IO78" s="4"/>
      <c r="IP78" s="4"/>
      <c r="IQ78" s="4"/>
      <c r="IR78" s="4"/>
      <c r="IS78" s="4"/>
    </row>
    <row r="79" spans="1:253" s="31" customFormat="1" ht="20.25" customHeight="1">
      <c r="A79" s="24">
        <v>41035000</v>
      </c>
      <c r="B79" s="145" t="s">
        <v>277</v>
      </c>
      <c r="C79" s="504">
        <f>E79+D79</f>
        <v>7226583.81</v>
      </c>
      <c r="D79" s="473">
        <f>4774465+332000+25000+6000+1606705-9000+10000+10000+443585-1115478.97+21900-163712.98-503182.24-44155</f>
        <v>5394125.81</v>
      </c>
      <c r="E79" s="148">
        <f>200000+480000+13000+20000+802000-10000+45000+62458+220000</f>
        <v>1832458</v>
      </c>
      <c r="F79" s="148">
        <f>680000+13000+20000+802000-10000+45000+62458+220000</f>
        <v>1832458</v>
      </c>
      <c r="G79" s="4"/>
      <c r="H79" s="4"/>
      <c r="I79" s="4"/>
      <c r="J79" s="4"/>
      <c r="K79" s="4"/>
      <c r="L79" s="4"/>
      <c r="IK79" s="4"/>
      <c r="IL79" s="4"/>
      <c r="IM79" s="4"/>
      <c r="IN79" s="4"/>
      <c r="IO79" s="4"/>
      <c r="IP79" s="4"/>
      <c r="IQ79" s="4"/>
      <c r="IR79" s="4"/>
      <c r="IS79" s="4"/>
    </row>
    <row r="80" spans="1:253" s="147" customFormat="1" ht="27.75" customHeight="1">
      <c r="A80" s="34"/>
      <c r="B80" s="108" t="s">
        <v>93</v>
      </c>
      <c r="C80" s="475">
        <f>C65+C62+C32+C8</f>
        <v>340872487.29</v>
      </c>
      <c r="D80" s="475">
        <f>D65+D62+D32+D8</f>
        <v>338293429.29</v>
      </c>
      <c r="E80" s="122">
        <f>E65+E62+E32+E8</f>
        <v>2579058</v>
      </c>
      <c r="F80" s="122">
        <f>F65+F62+F32+F8</f>
        <v>1832458</v>
      </c>
      <c r="G80" s="146"/>
      <c r="H80" s="146"/>
      <c r="I80" s="146"/>
      <c r="J80" s="146"/>
      <c r="K80" s="146"/>
      <c r="L80" s="146"/>
      <c r="IK80" s="146"/>
      <c r="IL80" s="146"/>
      <c r="IM80" s="146"/>
      <c r="IN80" s="146"/>
      <c r="IO80" s="146"/>
      <c r="IP80" s="146"/>
      <c r="IQ80" s="146"/>
      <c r="IR80" s="146"/>
      <c r="IS80" s="146"/>
    </row>
    <row r="81" spans="1:253" s="147" customFormat="1" ht="27.75" customHeight="1">
      <c r="A81" s="197"/>
      <c r="B81" s="199" t="s">
        <v>248</v>
      </c>
      <c r="C81" s="520" t="s">
        <v>249</v>
      </c>
      <c r="D81" s="521"/>
      <c r="E81" s="198"/>
      <c r="F81" s="198"/>
      <c r="G81" s="146"/>
      <c r="H81" s="146"/>
      <c r="I81" s="146"/>
      <c r="J81" s="146"/>
      <c r="K81" s="146"/>
      <c r="L81" s="146"/>
      <c r="IK81" s="146"/>
      <c r="IL81" s="146"/>
      <c r="IM81" s="146"/>
      <c r="IN81" s="146"/>
      <c r="IO81" s="146"/>
      <c r="IP81" s="146"/>
      <c r="IQ81" s="146"/>
      <c r="IR81" s="146"/>
      <c r="IS81" s="146"/>
    </row>
  </sheetData>
  <sheetProtection/>
  <mergeCells count="8">
    <mergeCell ref="C81:D81"/>
    <mergeCell ref="A6:A7"/>
    <mergeCell ref="B6:B7"/>
    <mergeCell ref="C3:F3"/>
    <mergeCell ref="A4:E4"/>
    <mergeCell ref="C6:C7"/>
    <mergeCell ref="D6:D7"/>
    <mergeCell ref="E6:F6"/>
  </mergeCells>
  <printOptions horizontalCentered="1"/>
  <pageMargins left="0.01968503937007874" right="0.01968503937007874" top="0.5905511811023623" bottom="0.7874015748031497" header="0.5118110236220472" footer="0.5118110236220472"/>
  <pageSetup fitToHeight="0" horizontalDpi="300" verticalDpi="300" orientation="portrait" paperSize="9" scale="85"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J188"/>
  <sheetViews>
    <sheetView zoomScalePageLayoutView="0" workbookViewId="0" topLeftCell="A172">
      <selection activeCell="C185" sqref="C185"/>
    </sheetView>
  </sheetViews>
  <sheetFormatPr defaultColWidth="10.66015625" defaultRowHeight="12.75"/>
  <cols>
    <col min="1" max="1" width="32.66015625" style="150" customWidth="1"/>
    <col min="2" max="2" width="49.66015625" style="150" customWidth="1"/>
    <col min="3" max="3" width="20.33203125" style="150" customWidth="1"/>
    <col min="4" max="4" width="20.66015625" style="150" customWidth="1"/>
    <col min="5" max="5" width="19.16015625" style="150" customWidth="1"/>
    <col min="6" max="16384" width="10.66015625" style="150" customWidth="1"/>
  </cols>
  <sheetData>
    <row r="1" spans="1:5" ht="18.75" customHeight="1">
      <c r="A1" s="151"/>
      <c r="B1" s="151"/>
      <c r="C1" s="152" t="s">
        <v>7</v>
      </c>
      <c r="D1" s="152"/>
      <c r="E1" s="216"/>
    </row>
    <row r="2" spans="3:5" ht="15.75" customHeight="1">
      <c r="C2" s="152" t="s">
        <v>342</v>
      </c>
      <c r="D2" s="152"/>
      <c r="E2" s="216"/>
    </row>
    <row r="3" spans="3:5" ht="18.75">
      <c r="C3" s="152" t="s">
        <v>129</v>
      </c>
      <c r="D3" s="152"/>
      <c r="E3" s="216"/>
    </row>
    <row r="4" spans="2:5" ht="14.25" customHeight="1">
      <c r="B4" s="588"/>
      <c r="C4" s="588"/>
      <c r="D4" s="588"/>
      <c r="E4" s="588"/>
    </row>
    <row r="5" spans="1:5" ht="23.25" customHeight="1">
      <c r="A5" s="568" t="s">
        <v>117</v>
      </c>
      <c r="B5" s="568"/>
      <c r="C5" s="568"/>
      <c r="D5" s="568"/>
      <c r="E5" s="217"/>
    </row>
    <row r="6" spans="1:5" ht="18.75" customHeight="1">
      <c r="A6" s="156"/>
      <c r="E6" s="157" t="s">
        <v>343</v>
      </c>
    </row>
    <row r="7" spans="1:5" ht="40.5" customHeight="1">
      <c r="A7" s="218" t="s">
        <v>8</v>
      </c>
      <c r="B7" s="218" t="s">
        <v>448</v>
      </c>
      <c r="C7" s="218" t="s">
        <v>68</v>
      </c>
      <c r="D7" s="219" t="s">
        <v>449</v>
      </c>
      <c r="E7" s="219" t="s">
        <v>450</v>
      </c>
    </row>
    <row r="8" spans="1:5" ht="15.75" customHeight="1">
      <c r="A8" s="202">
        <v>1</v>
      </c>
      <c r="B8" s="202">
        <v>2</v>
      </c>
      <c r="C8" s="202">
        <v>3</v>
      </c>
      <c r="D8" s="220">
        <v>4</v>
      </c>
      <c r="E8" s="220">
        <v>5</v>
      </c>
    </row>
    <row r="9" spans="1:5" ht="33.75" customHeight="1" hidden="1">
      <c r="A9" s="576" t="s">
        <v>326</v>
      </c>
      <c r="B9" s="63"/>
      <c r="C9" s="63">
        <f>D9+E9</f>
        <v>0</v>
      </c>
      <c r="D9" s="63"/>
      <c r="E9" s="63"/>
    </row>
    <row r="10" spans="1:5" ht="30" customHeight="1" hidden="1">
      <c r="A10" s="577"/>
      <c r="B10" s="63"/>
      <c r="C10" s="63">
        <f>D10+E10</f>
        <v>0</v>
      </c>
      <c r="D10" s="63"/>
      <c r="E10" s="63"/>
    </row>
    <row r="11" spans="1:5" ht="15" customHeight="1" hidden="1">
      <c r="A11" s="580"/>
      <c r="B11" s="225" t="s">
        <v>68</v>
      </c>
      <c r="C11" s="59">
        <f>C9+C10</f>
        <v>0</v>
      </c>
      <c r="D11" s="59">
        <f>D9+D10</f>
        <v>0</v>
      </c>
      <c r="E11" s="59">
        <f>E9</f>
        <v>0</v>
      </c>
    </row>
    <row r="12" spans="1:5" ht="36.75" customHeight="1" hidden="1">
      <c r="A12" s="573" t="s">
        <v>327</v>
      </c>
      <c r="B12" s="63"/>
      <c r="C12" s="63">
        <f>D12+E12</f>
        <v>0</v>
      </c>
      <c r="D12" s="63"/>
      <c r="E12" s="63"/>
    </row>
    <row r="13" spans="1:5" ht="24.75" customHeight="1" hidden="1">
      <c r="A13" s="574"/>
      <c r="B13" s="63"/>
      <c r="C13" s="63"/>
      <c r="D13" s="63"/>
      <c r="E13" s="63"/>
    </row>
    <row r="14" spans="1:5" ht="19.5" customHeight="1" hidden="1">
      <c r="A14" s="575"/>
      <c r="B14" s="225" t="s">
        <v>68</v>
      </c>
      <c r="C14" s="59">
        <f>C12</f>
        <v>0</v>
      </c>
      <c r="D14" s="59">
        <f>D12</f>
        <v>0</v>
      </c>
      <c r="E14" s="59">
        <f>E12</f>
        <v>0</v>
      </c>
    </row>
    <row r="15" spans="1:5" ht="34.5" customHeight="1">
      <c r="A15" s="396" t="s">
        <v>327</v>
      </c>
      <c r="B15" s="390" t="s">
        <v>122</v>
      </c>
      <c r="C15" s="63">
        <v>15000</v>
      </c>
      <c r="D15" s="63">
        <v>15000</v>
      </c>
      <c r="E15" s="59"/>
    </row>
    <row r="16" spans="1:5" ht="34.5" customHeight="1">
      <c r="A16" s="396"/>
      <c r="B16" s="390" t="s">
        <v>219</v>
      </c>
      <c r="C16" s="63">
        <v>5000</v>
      </c>
      <c r="D16" s="63">
        <v>5000</v>
      </c>
      <c r="E16" s="59"/>
    </row>
    <row r="17" spans="1:5" ht="19.5" customHeight="1">
      <c r="A17" s="396"/>
      <c r="B17" s="225" t="s">
        <v>68</v>
      </c>
      <c r="C17" s="59">
        <f>15000+5000</f>
        <v>20000</v>
      </c>
      <c r="D17" s="59">
        <f>15000+D16</f>
        <v>20000</v>
      </c>
      <c r="E17" s="59"/>
    </row>
    <row r="18" spans="1:5" ht="44.25" customHeight="1">
      <c r="A18" s="629" t="s">
        <v>328</v>
      </c>
      <c r="B18" s="394" t="s">
        <v>9</v>
      </c>
      <c r="C18" s="63">
        <f>D18+E18</f>
        <v>140000</v>
      </c>
      <c r="D18" s="63"/>
      <c r="E18" s="63">
        <v>140000</v>
      </c>
    </row>
    <row r="19" spans="1:5" ht="30" customHeight="1">
      <c r="A19" s="630"/>
      <c r="B19" s="394" t="s">
        <v>193</v>
      </c>
      <c r="C19" s="63">
        <v>20000</v>
      </c>
      <c r="D19" s="63"/>
      <c r="E19" s="63">
        <v>20000</v>
      </c>
    </row>
    <row r="20" spans="1:5" ht="30" customHeight="1">
      <c r="A20" s="630"/>
      <c r="B20" s="63" t="s">
        <v>210</v>
      </c>
      <c r="C20" s="63">
        <f>D20</f>
        <v>20000</v>
      </c>
      <c r="D20" s="63">
        <v>20000</v>
      </c>
      <c r="E20" s="63"/>
    </row>
    <row r="21" spans="1:5" ht="30" customHeight="1">
      <c r="A21" s="630"/>
      <c r="B21" s="63" t="s">
        <v>211</v>
      </c>
      <c r="C21" s="63">
        <f>D21</f>
        <v>5000</v>
      </c>
      <c r="D21" s="63">
        <v>5000</v>
      </c>
      <c r="E21" s="63"/>
    </row>
    <row r="22" spans="1:5" ht="30" customHeight="1">
      <c r="A22" s="630"/>
      <c r="B22" s="63" t="s">
        <v>212</v>
      </c>
      <c r="C22" s="63">
        <f>D22</f>
        <v>10000</v>
      </c>
      <c r="D22" s="63">
        <v>10000</v>
      </c>
      <c r="E22" s="63"/>
    </row>
    <row r="23" spans="1:5" ht="30" customHeight="1">
      <c r="A23" s="630"/>
      <c r="B23" s="63" t="s">
        <v>213</v>
      </c>
      <c r="C23" s="63">
        <f>E23</f>
        <v>10000</v>
      </c>
      <c r="D23" s="63"/>
      <c r="E23" s="63">
        <v>10000</v>
      </c>
    </row>
    <row r="24" spans="1:5" ht="16.5" customHeight="1">
      <c r="A24" s="630"/>
      <c r="B24" s="395" t="s">
        <v>68</v>
      </c>
      <c r="C24" s="59">
        <f>C18+C19+C20+C21+C22+C23</f>
        <v>205000</v>
      </c>
      <c r="D24" s="59">
        <f>D20+D21+D22</f>
        <v>35000</v>
      </c>
      <c r="E24" s="59">
        <f>E18+E19+E23</f>
        <v>170000</v>
      </c>
    </row>
    <row r="25" spans="1:5" ht="34.5" customHeight="1" hidden="1">
      <c r="A25" s="630"/>
      <c r="B25" s="394"/>
      <c r="C25" s="63">
        <f>D25+E25</f>
        <v>0</v>
      </c>
      <c r="D25" s="63"/>
      <c r="E25" s="63"/>
    </row>
    <row r="26" spans="1:5" ht="33.75" customHeight="1" hidden="1">
      <c r="A26" s="630"/>
      <c r="B26" s="394"/>
      <c r="C26" s="63">
        <f>D26+E26</f>
        <v>0</v>
      </c>
      <c r="D26" s="63"/>
      <c r="E26" s="63"/>
    </row>
    <row r="27" spans="1:5" ht="15.75" customHeight="1" hidden="1">
      <c r="A27" s="630"/>
      <c r="B27" s="395" t="s">
        <v>68</v>
      </c>
      <c r="C27" s="59">
        <f>C25+C26</f>
        <v>0</v>
      </c>
      <c r="D27" s="59">
        <f>D25+D26</f>
        <v>0</v>
      </c>
      <c r="E27" s="59">
        <f>E25</f>
        <v>0</v>
      </c>
    </row>
    <row r="28" spans="1:5" ht="30" customHeight="1" hidden="1">
      <c r="A28" s="630"/>
      <c r="B28" s="394"/>
      <c r="C28" s="63">
        <f>D28+E28</f>
        <v>0</v>
      </c>
      <c r="D28" s="63"/>
      <c r="E28" s="63"/>
    </row>
    <row r="29" spans="1:5" ht="35.25" customHeight="1" hidden="1">
      <c r="A29" s="630"/>
      <c r="B29" s="394"/>
      <c r="C29" s="63">
        <f>D29+E29</f>
        <v>0</v>
      </c>
      <c r="D29" s="63"/>
      <c r="E29" s="63"/>
    </row>
    <row r="30" spans="1:5" ht="14.25" customHeight="1" hidden="1">
      <c r="A30" s="631"/>
      <c r="B30" s="395" t="s">
        <v>68</v>
      </c>
      <c r="C30" s="59">
        <f>C28+C29</f>
        <v>0</v>
      </c>
      <c r="D30" s="59">
        <f>D28+D29</f>
        <v>0</v>
      </c>
      <c r="E30" s="59">
        <f>E28</f>
        <v>0</v>
      </c>
    </row>
    <row r="31" spans="1:5" ht="36" customHeight="1" hidden="1">
      <c r="A31" s="629" t="s">
        <v>380</v>
      </c>
      <c r="B31" s="63"/>
      <c r="C31" s="63">
        <f>D31+E31</f>
        <v>0</v>
      </c>
      <c r="D31" s="63"/>
      <c r="E31" s="63"/>
    </row>
    <row r="32" spans="1:5" ht="34.5" customHeight="1" hidden="1">
      <c r="A32" s="630"/>
      <c r="B32" s="63"/>
      <c r="C32" s="63">
        <f>D32+E32</f>
        <v>0</v>
      </c>
      <c r="D32" s="63"/>
      <c r="E32" s="63"/>
    </row>
    <row r="33" spans="1:5" s="208" customFormat="1" ht="15.75" customHeight="1" hidden="1">
      <c r="A33" s="631"/>
      <c r="B33" s="225" t="s">
        <v>68</v>
      </c>
      <c r="C33" s="59">
        <f>C31+C32</f>
        <v>0</v>
      </c>
      <c r="D33" s="59">
        <f>D31+D32</f>
        <v>0</v>
      </c>
      <c r="E33" s="59">
        <f>E31</f>
        <v>0</v>
      </c>
    </row>
    <row r="34" spans="1:5" s="208" customFormat="1" ht="33.75" customHeight="1" hidden="1">
      <c r="A34" s="629" t="s">
        <v>461</v>
      </c>
      <c r="B34" s="63"/>
      <c r="C34" s="63">
        <f>D34+E34</f>
        <v>0</v>
      </c>
      <c r="D34" s="63"/>
      <c r="E34" s="63"/>
    </row>
    <row r="35" spans="1:5" s="208" customFormat="1" ht="31.5" customHeight="1" hidden="1">
      <c r="A35" s="630"/>
      <c r="B35" s="63"/>
      <c r="C35" s="63">
        <f>D35+E35</f>
        <v>0</v>
      </c>
      <c r="D35" s="63"/>
      <c r="E35" s="63"/>
    </row>
    <row r="36" spans="1:5" ht="16.5" customHeight="1" hidden="1">
      <c r="A36" s="631"/>
      <c r="B36" s="225" t="s">
        <v>68</v>
      </c>
      <c r="C36" s="59">
        <f>C34+C35</f>
        <v>0</v>
      </c>
      <c r="D36" s="59">
        <f>D34+D35</f>
        <v>0</v>
      </c>
      <c r="E36" s="59">
        <f>E34</f>
        <v>0</v>
      </c>
    </row>
    <row r="37" spans="1:5" ht="53.25" customHeight="1">
      <c r="A37" s="629" t="s">
        <v>329</v>
      </c>
      <c r="B37" s="390" t="s">
        <v>223</v>
      </c>
      <c r="C37" s="63">
        <f>D37</f>
        <v>5000</v>
      </c>
      <c r="D37" s="63">
        <f>5000</f>
        <v>5000</v>
      </c>
      <c r="E37" s="59"/>
    </row>
    <row r="38" spans="1:5" ht="39.75" customHeight="1">
      <c r="A38" s="589"/>
      <c r="B38" s="390" t="s">
        <v>219</v>
      </c>
      <c r="C38" s="63">
        <f>D38</f>
        <v>50000</v>
      </c>
      <c r="D38" s="63">
        <v>50000</v>
      </c>
      <c r="E38" s="59"/>
    </row>
    <row r="39" spans="1:5" ht="21.75" customHeight="1">
      <c r="A39" s="590"/>
      <c r="B39" s="391" t="s">
        <v>68</v>
      </c>
      <c r="C39" s="59">
        <f>C37+C38</f>
        <v>55000</v>
      </c>
      <c r="D39" s="59">
        <f>D37+D38</f>
        <v>55000</v>
      </c>
      <c r="E39" s="59"/>
    </row>
    <row r="40" spans="1:5" ht="35.25" customHeight="1">
      <c r="A40" s="629" t="s">
        <v>379</v>
      </c>
      <c r="B40" s="390" t="s">
        <v>118</v>
      </c>
      <c r="C40" s="63">
        <v>20000</v>
      </c>
      <c r="D40" s="63">
        <v>20000</v>
      </c>
      <c r="E40" s="59"/>
    </row>
    <row r="41" spans="1:5" ht="35.25" customHeight="1">
      <c r="A41" s="589"/>
      <c r="B41" s="390" t="s">
        <v>219</v>
      </c>
      <c r="C41" s="63">
        <f>D41</f>
        <v>10000</v>
      </c>
      <c r="D41" s="63">
        <f>10000</f>
        <v>10000</v>
      </c>
      <c r="E41" s="59"/>
    </row>
    <row r="42" spans="1:5" ht="43.5" customHeight="1">
      <c r="A42" s="589"/>
      <c r="B42" s="390" t="s">
        <v>220</v>
      </c>
      <c r="C42" s="63">
        <f>D42</f>
        <v>39000</v>
      </c>
      <c r="D42" s="63">
        <v>39000</v>
      </c>
      <c r="E42" s="59"/>
    </row>
    <row r="43" spans="1:5" ht="43.5" customHeight="1">
      <c r="A43" s="625"/>
      <c r="B43" s="390" t="s">
        <v>130</v>
      </c>
      <c r="C43" s="63">
        <f>D43</f>
        <v>10000</v>
      </c>
      <c r="D43" s="63">
        <v>10000</v>
      </c>
      <c r="E43" s="59"/>
    </row>
    <row r="44" spans="1:5" ht="16.5" customHeight="1">
      <c r="A44" s="590"/>
      <c r="B44" s="395" t="s">
        <v>68</v>
      </c>
      <c r="C44" s="59">
        <f>20000+C41+C42+C43</f>
        <v>79000</v>
      </c>
      <c r="D44" s="59">
        <f>20000+D41+D42+D43</f>
        <v>79000</v>
      </c>
      <c r="E44" s="59"/>
    </row>
    <row r="45" spans="1:5" ht="36.75" customHeight="1">
      <c r="A45" s="629" t="s">
        <v>380</v>
      </c>
      <c r="B45" s="390" t="s">
        <v>118</v>
      </c>
      <c r="C45" s="63">
        <v>10000</v>
      </c>
      <c r="D45" s="63">
        <v>10000</v>
      </c>
      <c r="E45" s="59"/>
    </row>
    <row r="46" spans="1:5" ht="33.75" customHeight="1">
      <c r="A46" s="630"/>
      <c r="B46" s="390" t="s">
        <v>224</v>
      </c>
      <c r="C46" s="63">
        <f>D46</f>
        <v>25000</v>
      </c>
      <c r="D46" s="63">
        <v>25000</v>
      </c>
      <c r="E46" s="59"/>
    </row>
    <row r="47" spans="1:5" ht="19.5" customHeight="1">
      <c r="A47" s="635"/>
      <c r="B47" s="391" t="s">
        <v>68</v>
      </c>
      <c r="C47" s="59">
        <f>C45+C46</f>
        <v>35000</v>
      </c>
      <c r="D47" s="59">
        <f>D45+D46</f>
        <v>35000</v>
      </c>
      <c r="E47" s="59"/>
    </row>
    <row r="48" spans="1:5" ht="36" customHeight="1">
      <c r="A48" s="632" t="s">
        <v>385</v>
      </c>
      <c r="B48" s="390" t="s">
        <v>236</v>
      </c>
      <c r="C48" s="63">
        <f>D48</f>
        <v>10000</v>
      </c>
      <c r="D48" s="63">
        <v>10000</v>
      </c>
      <c r="E48" s="59"/>
    </row>
    <row r="49" spans="1:5" ht="19.5" customHeight="1">
      <c r="A49" s="590"/>
      <c r="B49" s="391" t="s">
        <v>68</v>
      </c>
      <c r="C49" s="59">
        <f>C48</f>
        <v>10000</v>
      </c>
      <c r="D49" s="59">
        <f>D48</f>
        <v>10000</v>
      </c>
      <c r="E49" s="59"/>
    </row>
    <row r="50" spans="1:5" ht="50.25" customHeight="1">
      <c r="A50" s="471" t="s">
        <v>131</v>
      </c>
      <c r="B50" s="390" t="s">
        <v>132</v>
      </c>
      <c r="C50" s="63">
        <f>D50</f>
        <v>10000</v>
      </c>
      <c r="D50" s="63">
        <v>10000</v>
      </c>
      <c r="E50" s="59"/>
    </row>
    <row r="51" spans="1:5" ht="19.5" customHeight="1">
      <c r="A51" s="470"/>
      <c r="B51" s="391" t="s">
        <v>68</v>
      </c>
      <c r="C51" s="59">
        <f>C50</f>
        <v>10000</v>
      </c>
      <c r="D51" s="59">
        <f>D50</f>
        <v>10000</v>
      </c>
      <c r="E51" s="59"/>
    </row>
    <row r="52" spans="1:5" ht="38.25" customHeight="1">
      <c r="A52" s="454" t="s">
        <v>387</v>
      </c>
      <c r="B52" s="390" t="s">
        <v>222</v>
      </c>
      <c r="C52" s="63">
        <f>D52</f>
        <v>7500</v>
      </c>
      <c r="D52" s="63">
        <v>7500</v>
      </c>
      <c r="E52" s="59"/>
    </row>
    <row r="53" spans="1:5" ht="21.75" customHeight="1">
      <c r="A53" s="454"/>
      <c r="B53" s="391" t="s">
        <v>68</v>
      </c>
      <c r="C53" s="59">
        <f>C52</f>
        <v>7500</v>
      </c>
      <c r="D53" s="59">
        <f>D52</f>
        <v>7500</v>
      </c>
      <c r="E53" s="59"/>
    </row>
    <row r="54" spans="1:5" ht="34.5" customHeight="1">
      <c r="A54" s="633" t="s">
        <v>226</v>
      </c>
      <c r="B54" s="390" t="s">
        <v>219</v>
      </c>
      <c r="C54" s="63">
        <f>D54</f>
        <v>10000</v>
      </c>
      <c r="D54" s="63">
        <v>10000</v>
      </c>
      <c r="E54" s="59"/>
    </row>
    <row r="55" spans="1:5" s="208" customFormat="1" ht="19.5" customHeight="1">
      <c r="A55" s="590"/>
      <c r="B55" s="391" t="s">
        <v>68</v>
      </c>
      <c r="C55" s="59">
        <f>C54</f>
        <v>10000</v>
      </c>
      <c r="D55" s="59">
        <f>D54</f>
        <v>10000</v>
      </c>
      <c r="E55" s="59"/>
    </row>
    <row r="56" spans="1:5" ht="33" customHeight="1">
      <c r="A56" s="629" t="s">
        <v>390</v>
      </c>
      <c r="B56" s="63" t="s">
        <v>119</v>
      </c>
      <c r="C56" s="63">
        <v>12000</v>
      </c>
      <c r="D56" s="63">
        <v>12000</v>
      </c>
      <c r="E56" s="63"/>
    </row>
    <row r="57" spans="1:5" ht="30" customHeight="1" hidden="1">
      <c r="A57" s="630"/>
      <c r="B57" s="63"/>
      <c r="C57" s="63">
        <f>D57+E57</f>
        <v>0</v>
      </c>
      <c r="D57" s="63"/>
      <c r="E57" s="63"/>
    </row>
    <row r="58" spans="1:5" ht="30" customHeight="1">
      <c r="A58" s="630"/>
      <c r="B58" s="63" t="s">
        <v>120</v>
      </c>
      <c r="C58" s="63">
        <v>13000</v>
      </c>
      <c r="D58" s="63"/>
      <c r="E58" s="63">
        <v>13000</v>
      </c>
    </row>
    <row r="59" spans="1:5" ht="30" customHeight="1">
      <c r="A59" s="630"/>
      <c r="B59" s="63" t="s">
        <v>225</v>
      </c>
      <c r="C59" s="63">
        <f>D59</f>
        <v>5000</v>
      </c>
      <c r="D59" s="63">
        <v>5000</v>
      </c>
      <c r="E59" s="63"/>
    </row>
    <row r="60" spans="1:5" ht="15" customHeight="1">
      <c r="A60" s="631"/>
      <c r="B60" s="225" t="s">
        <v>68</v>
      </c>
      <c r="C60" s="59">
        <f>C56+C57+C58+C59</f>
        <v>30000</v>
      </c>
      <c r="D60" s="59">
        <f>D56+D57+D58+D59</f>
        <v>17000</v>
      </c>
      <c r="E60" s="59">
        <f>E56+E57+E58</f>
        <v>13000</v>
      </c>
    </row>
    <row r="61" spans="1:5" ht="42.75" customHeight="1">
      <c r="A61" s="629" t="s">
        <v>353</v>
      </c>
      <c r="B61" s="63" t="s">
        <v>121</v>
      </c>
      <c r="C61" s="63">
        <f>D61+E61</f>
        <v>30000</v>
      </c>
      <c r="D61" s="63">
        <f>15000+15000</f>
        <v>30000</v>
      </c>
      <c r="E61" s="63"/>
    </row>
    <row r="62" spans="1:5" ht="30.75" customHeight="1" hidden="1">
      <c r="A62" s="630"/>
      <c r="B62" s="63"/>
      <c r="C62" s="63">
        <f>D62+E62</f>
        <v>0</v>
      </c>
      <c r="D62" s="63"/>
      <c r="E62" s="63"/>
    </row>
    <row r="63" spans="1:5" ht="30.75" customHeight="1">
      <c r="A63" s="636"/>
      <c r="B63" s="63" t="s">
        <v>272</v>
      </c>
      <c r="C63" s="63">
        <f>D63</f>
        <v>21900</v>
      </c>
      <c r="D63" s="63">
        <v>21900</v>
      </c>
      <c r="E63" s="63"/>
    </row>
    <row r="64" spans="1:5" ht="15" customHeight="1">
      <c r="A64" s="631"/>
      <c r="B64" s="225" t="s">
        <v>68</v>
      </c>
      <c r="C64" s="59">
        <f>C61+C62+C63</f>
        <v>51900</v>
      </c>
      <c r="D64" s="59">
        <f>D61+D62+D63</f>
        <v>51900</v>
      </c>
      <c r="E64" s="59">
        <f>E61</f>
        <v>0</v>
      </c>
    </row>
    <row r="65" spans="1:5" ht="32.25" customHeight="1" hidden="1">
      <c r="A65" s="573" t="s">
        <v>392</v>
      </c>
      <c r="B65" s="63"/>
      <c r="C65" s="63">
        <f>D65+E65</f>
        <v>0</v>
      </c>
      <c r="D65" s="63"/>
      <c r="E65" s="63"/>
    </row>
    <row r="66" spans="1:5" ht="35.25" customHeight="1" hidden="1">
      <c r="A66" s="574"/>
      <c r="B66" s="63"/>
      <c r="C66" s="63">
        <f>D66+E66</f>
        <v>0</v>
      </c>
      <c r="D66" s="63"/>
      <c r="E66" s="63"/>
    </row>
    <row r="67" spans="1:5" ht="15" customHeight="1" hidden="1">
      <c r="A67" s="575"/>
      <c r="B67" s="225" t="s">
        <v>68</v>
      </c>
      <c r="C67" s="59">
        <f>C65+C66</f>
        <v>0</v>
      </c>
      <c r="D67" s="59">
        <f>D65+D66</f>
        <v>0</v>
      </c>
      <c r="E67" s="59">
        <f>E65</f>
        <v>0</v>
      </c>
    </row>
    <row r="68" spans="1:5" ht="41.25" customHeight="1" hidden="1">
      <c r="A68" s="573" t="s">
        <v>393</v>
      </c>
      <c r="B68" s="63"/>
      <c r="C68" s="63">
        <f>D68+E68</f>
        <v>0</v>
      </c>
      <c r="D68" s="63"/>
      <c r="E68" s="63"/>
    </row>
    <row r="69" spans="1:5" ht="36" customHeight="1" hidden="1">
      <c r="A69" s="574"/>
      <c r="B69" s="63"/>
      <c r="C69" s="63">
        <f>D69+E69</f>
        <v>0</v>
      </c>
      <c r="D69" s="63"/>
      <c r="E69" s="63"/>
    </row>
    <row r="70" spans="1:5" ht="18" customHeight="1" hidden="1">
      <c r="A70" s="575"/>
      <c r="B70" s="225" t="s">
        <v>68</v>
      </c>
      <c r="C70" s="59">
        <f>C68+C69</f>
        <v>0</v>
      </c>
      <c r="D70" s="59">
        <f>D68+D69</f>
        <v>0</v>
      </c>
      <c r="E70" s="59">
        <f>E68</f>
        <v>0</v>
      </c>
    </row>
    <row r="71" spans="1:5" ht="34.5" customHeight="1" hidden="1">
      <c r="A71" s="573" t="s">
        <v>394</v>
      </c>
      <c r="B71" s="63"/>
      <c r="C71" s="63">
        <f>D71+E71</f>
        <v>0</v>
      </c>
      <c r="D71" s="63"/>
      <c r="E71" s="63"/>
    </row>
    <row r="72" spans="1:5" ht="36" customHeight="1" hidden="1">
      <c r="A72" s="574"/>
      <c r="B72" s="63"/>
      <c r="C72" s="63">
        <f>D72+E72</f>
        <v>0</v>
      </c>
      <c r="D72" s="63"/>
      <c r="E72" s="63"/>
    </row>
    <row r="73" spans="1:5" ht="24.75" customHeight="1" hidden="1">
      <c r="A73" s="575"/>
      <c r="B73" s="225" t="s">
        <v>68</v>
      </c>
      <c r="C73" s="59">
        <f>C71+C72</f>
        <v>0</v>
      </c>
      <c r="D73" s="59">
        <f>D71+D72</f>
        <v>0</v>
      </c>
      <c r="E73" s="59">
        <f>E71</f>
        <v>0</v>
      </c>
    </row>
    <row r="74" spans="1:5" ht="33" customHeight="1" hidden="1">
      <c r="A74" s="573" t="s">
        <v>395</v>
      </c>
      <c r="B74" s="63"/>
      <c r="C74" s="63">
        <f>D74+E74</f>
        <v>0</v>
      </c>
      <c r="D74" s="63"/>
      <c r="E74" s="63"/>
    </row>
    <row r="75" spans="1:5" ht="24.75" customHeight="1" hidden="1">
      <c r="A75" s="574"/>
      <c r="B75" s="63"/>
      <c r="C75" s="63"/>
      <c r="D75" s="63"/>
      <c r="E75" s="63"/>
    </row>
    <row r="76" spans="1:5" ht="16.5" customHeight="1" hidden="1">
      <c r="A76" s="575"/>
      <c r="B76" s="225" t="s">
        <v>68</v>
      </c>
      <c r="C76" s="59">
        <f>C74</f>
        <v>0</v>
      </c>
      <c r="D76" s="59">
        <f>D74</f>
        <v>0</v>
      </c>
      <c r="E76" s="59">
        <f>E74</f>
        <v>0</v>
      </c>
    </row>
    <row r="77" spans="1:5" ht="33" customHeight="1" hidden="1">
      <c r="A77" s="573" t="s">
        <v>396</v>
      </c>
      <c r="B77" s="63"/>
      <c r="C77" s="63">
        <f>D77+E77</f>
        <v>0</v>
      </c>
      <c r="D77" s="63"/>
      <c r="E77" s="63"/>
    </row>
    <row r="78" spans="1:5" ht="24.75" customHeight="1" hidden="1">
      <c r="A78" s="574"/>
      <c r="B78" s="63"/>
      <c r="C78" s="63"/>
      <c r="D78" s="63"/>
      <c r="E78" s="63"/>
    </row>
    <row r="79" spans="1:5" ht="15.75" customHeight="1" hidden="1">
      <c r="A79" s="575"/>
      <c r="B79" s="225" t="s">
        <v>68</v>
      </c>
      <c r="C79" s="59">
        <f>C77</f>
        <v>0</v>
      </c>
      <c r="D79" s="59">
        <f>D77</f>
        <v>0</v>
      </c>
      <c r="E79" s="59">
        <f>E77</f>
        <v>0</v>
      </c>
    </row>
    <row r="80" spans="1:5" ht="27.75" customHeight="1" hidden="1">
      <c r="A80" s="573" t="s">
        <v>397</v>
      </c>
      <c r="B80" s="63"/>
      <c r="C80" s="63">
        <f>D80+E80</f>
        <v>0</v>
      </c>
      <c r="D80" s="63"/>
      <c r="E80" s="63"/>
    </row>
    <row r="81" spans="1:5" ht="24.75" customHeight="1" hidden="1">
      <c r="A81" s="574"/>
      <c r="B81" s="63"/>
      <c r="C81" s="63"/>
      <c r="D81" s="63"/>
      <c r="E81" s="63"/>
    </row>
    <row r="82" spans="1:5" ht="19.5" customHeight="1" hidden="1">
      <c r="A82" s="575"/>
      <c r="B82" s="225" t="s">
        <v>68</v>
      </c>
      <c r="C82" s="59">
        <f>C80</f>
        <v>0</v>
      </c>
      <c r="D82" s="59">
        <f>D80</f>
        <v>0</v>
      </c>
      <c r="E82" s="59">
        <f>E80</f>
        <v>0</v>
      </c>
    </row>
    <row r="83" spans="1:5" ht="34.5" customHeight="1" hidden="1">
      <c r="A83" s="573" t="s">
        <v>399</v>
      </c>
      <c r="B83" s="63"/>
      <c r="C83" s="63">
        <f>D83+E83</f>
        <v>0</v>
      </c>
      <c r="D83" s="63"/>
      <c r="E83" s="63"/>
    </row>
    <row r="84" spans="1:5" ht="36" customHeight="1" hidden="1">
      <c r="A84" s="574"/>
      <c r="B84" s="63"/>
      <c r="C84" s="63">
        <f>D84+E84</f>
        <v>0</v>
      </c>
      <c r="D84" s="63"/>
      <c r="E84" s="63"/>
    </row>
    <row r="85" spans="1:5" ht="17.25" customHeight="1" hidden="1">
      <c r="A85" s="575"/>
      <c r="B85" s="225" t="s">
        <v>68</v>
      </c>
      <c r="C85" s="59">
        <f>C83+C84</f>
        <v>0</v>
      </c>
      <c r="D85" s="59">
        <f>D83+D84</f>
        <v>0</v>
      </c>
      <c r="E85" s="59">
        <f>E83</f>
        <v>0</v>
      </c>
    </row>
    <row r="86" spans="1:5" ht="93.75" customHeight="1">
      <c r="A86" s="634" t="s">
        <v>398</v>
      </c>
      <c r="B86" s="390" t="s">
        <v>229</v>
      </c>
      <c r="C86" s="63">
        <f>D86</f>
        <v>140000</v>
      </c>
      <c r="D86" s="63">
        <v>140000</v>
      </c>
      <c r="E86" s="59"/>
    </row>
    <row r="87" spans="1:5" ht="51.75" customHeight="1">
      <c r="A87" s="625"/>
      <c r="B87" s="390" t="s">
        <v>230</v>
      </c>
      <c r="C87" s="63">
        <f>D87</f>
        <v>17000</v>
      </c>
      <c r="D87" s="63">
        <v>17000</v>
      </c>
      <c r="E87" s="59"/>
    </row>
    <row r="88" spans="1:5" ht="25.5" customHeight="1">
      <c r="A88" s="625"/>
      <c r="B88" s="390" t="s">
        <v>231</v>
      </c>
      <c r="C88" s="63">
        <f>E88</f>
        <v>9000</v>
      </c>
      <c r="D88" s="63"/>
      <c r="E88" s="63">
        <v>9000</v>
      </c>
    </row>
    <row r="89" spans="1:5" ht="33" customHeight="1">
      <c r="A89" s="625"/>
      <c r="B89" s="390" t="s">
        <v>232</v>
      </c>
      <c r="C89" s="63">
        <f>E89</f>
        <v>500000</v>
      </c>
      <c r="D89" s="63"/>
      <c r="E89" s="63">
        <v>500000</v>
      </c>
    </row>
    <row r="90" spans="1:5" ht="33" customHeight="1">
      <c r="A90" s="625"/>
      <c r="B90" s="390" t="s">
        <v>133</v>
      </c>
      <c r="C90" s="63">
        <f>E90</f>
        <v>200000</v>
      </c>
      <c r="D90" s="63"/>
      <c r="E90" s="63">
        <v>200000</v>
      </c>
    </row>
    <row r="91" spans="1:5" s="208" customFormat="1" ht="17.25" customHeight="1">
      <c r="A91" s="590"/>
      <c r="B91" s="391" t="s">
        <v>68</v>
      </c>
      <c r="C91" s="59">
        <f>C86+C87+C88+C89+C90</f>
        <v>866000</v>
      </c>
      <c r="D91" s="59">
        <f>D86+D87</f>
        <v>157000</v>
      </c>
      <c r="E91" s="59">
        <f>E88+E89+E90</f>
        <v>709000</v>
      </c>
    </row>
    <row r="92" spans="1:5" ht="25.5" customHeight="1">
      <c r="A92" s="573" t="s">
        <v>400</v>
      </c>
      <c r="B92" s="366" t="s">
        <v>9</v>
      </c>
      <c r="C92" s="63">
        <f>D92+E92</f>
        <v>140000</v>
      </c>
      <c r="D92" s="63"/>
      <c r="E92" s="63">
        <v>140000</v>
      </c>
    </row>
    <row r="93" spans="1:5" ht="25.5" customHeight="1">
      <c r="A93" s="579"/>
      <c r="B93" s="366" t="s">
        <v>254</v>
      </c>
      <c r="C93" s="63">
        <f>E93</f>
        <v>45000</v>
      </c>
      <c r="D93" s="63"/>
      <c r="E93" s="63">
        <v>45000</v>
      </c>
    </row>
    <row r="94" spans="1:5" ht="25.5" customHeight="1">
      <c r="A94" s="579"/>
      <c r="B94" s="366" t="s">
        <v>255</v>
      </c>
      <c r="C94" s="63">
        <f>D94</f>
        <v>10000</v>
      </c>
      <c r="D94" s="63">
        <v>10000</v>
      </c>
      <c r="E94" s="63"/>
    </row>
    <row r="95" spans="1:5" ht="17.25" customHeight="1">
      <c r="A95" s="575"/>
      <c r="B95" s="225" t="s">
        <v>68</v>
      </c>
      <c r="C95" s="59">
        <f>C92+C93+C94</f>
        <v>195000</v>
      </c>
      <c r="D95" s="59">
        <f>D94</f>
        <v>10000</v>
      </c>
      <c r="E95" s="59">
        <f>E92+E93</f>
        <v>185000</v>
      </c>
    </row>
    <row r="96" spans="1:5" ht="33.75" customHeight="1" hidden="1">
      <c r="A96" s="573" t="s">
        <v>401</v>
      </c>
      <c r="B96" s="63"/>
      <c r="C96" s="63">
        <f>D96+E96</f>
        <v>0</v>
      </c>
      <c r="D96" s="63"/>
      <c r="E96" s="63"/>
    </row>
    <row r="97" spans="1:5" ht="33" customHeight="1" hidden="1">
      <c r="A97" s="574"/>
      <c r="B97" s="63"/>
      <c r="C97" s="63">
        <f>D97+E97</f>
        <v>0</v>
      </c>
      <c r="D97" s="63"/>
      <c r="E97" s="63"/>
    </row>
    <row r="98" spans="1:5" ht="15.75" customHeight="1" hidden="1">
      <c r="A98" s="575"/>
      <c r="B98" s="225" t="s">
        <v>68</v>
      </c>
      <c r="C98" s="59">
        <f>C96+C97</f>
        <v>0</v>
      </c>
      <c r="D98" s="59">
        <f>D96+D97</f>
        <v>0</v>
      </c>
      <c r="E98" s="59">
        <f>E96</f>
        <v>0</v>
      </c>
    </row>
    <row r="99" spans="1:5" ht="34.5" customHeight="1" hidden="1">
      <c r="A99" s="573" t="s">
        <v>402</v>
      </c>
      <c r="B99" s="63"/>
      <c r="C99" s="63">
        <f>D99+E99</f>
        <v>0</v>
      </c>
      <c r="D99" s="63"/>
      <c r="E99" s="63"/>
    </row>
    <row r="100" spans="1:5" ht="34.5" customHeight="1" hidden="1">
      <c r="A100" s="574"/>
      <c r="B100" s="63"/>
      <c r="C100" s="63">
        <f>D100+E100</f>
        <v>0</v>
      </c>
      <c r="D100" s="63"/>
      <c r="E100" s="63"/>
    </row>
    <row r="101" spans="1:5" ht="13.5" customHeight="1" hidden="1">
      <c r="A101" s="575"/>
      <c r="B101" s="225" t="s">
        <v>68</v>
      </c>
      <c r="C101" s="59">
        <f>C99+C100</f>
        <v>0</v>
      </c>
      <c r="D101" s="59">
        <f>D99+D100</f>
        <v>0</v>
      </c>
      <c r="E101" s="59">
        <f>E99</f>
        <v>0</v>
      </c>
    </row>
    <row r="102" spans="1:5" ht="34.5" customHeight="1" hidden="1">
      <c r="A102" s="573" t="s">
        <v>403</v>
      </c>
      <c r="B102" s="63"/>
      <c r="C102" s="63">
        <f>D102+E102</f>
        <v>0</v>
      </c>
      <c r="D102" s="63"/>
      <c r="E102" s="63"/>
    </row>
    <row r="103" spans="1:5" ht="39.75" customHeight="1" hidden="1">
      <c r="A103" s="574"/>
      <c r="B103" s="63"/>
      <c r="C103" s="63">
        <f>D103+E103</f>
        <v>0</v>
      </c>
      <c r="D103" s="63"/>
      <c r="E103" s="63"/>
    </row>
    <row r="104" spans="1:5" ht="18" customHeight="1" hidden="1">
      <c r="A104" s="575"/>
      <c r="B104" s="225" t="s">
        <v>68</v>
      </c>
      <c r="C104" s="59">
        <f>C102+C103</f>
        <v>0</v>
      </c>
      <c r="D104" s="59">
        <f>D102+D103</f>
        <v>0</v>
      </c>
      <c r="E104" s="59">
        <f>E102</f>
        <v>0</v>
      </c>
    </row>
    <row r="105" spans="1:5" ht="41.25" customHeight="1">
      <c r="A105" s="573" t="s">
        <v>401</v>
      </c>
      <c r="B105" s="63" t="s">
        <v>123</v>
      </c>
      <c r="C105" s="63">
        <f>D105+E105</f>
        <v>20000</v>
      </c>
      <c r="D105" s="63">
        <v>20000</v>
      </c>
      <c r="E105" s="63"/>
    </row>
    <row r="106" spans="1:5" ht="37.5" customHeight="1" hidden="1">
      <c r="A106" s="574"/>
      <c r="B106" s="63"/>
      <c r="C106" s="63">
        <f>D106+E106</f>
        <v>0</v>
      </c>
      <c r="D106" s="63"/>
      <c r="E106" s="63"/>
    </row>
    <row r="107" spans="1:5" ht="17.25" customHeight="1">
      <c r="A107" s="575"/>
      <c r="B107" s="225" t="s">
        <v>68</v>
      </c>
      <c r="C107" s="59">
        <f>C105+C106</f>
        <v>20000</v>
      </c>
      <c r="D107" s="59">
        <f>D105+D106</f>
        <v>20000</v>
      </c>
      <c r="E107" s="59">
        <f>E105+E106</f>
        <v>0</v>
      </c>
    </row>
    <row r="108" spans="1:5" ht="33.75" customHeight="1" hidden="1">
      <c r="A108" s="573" t="s">
        <v>431</v>
      </c>
      <c r="B108" s="63"/>
      <c r="C108" s="63">
        <f>D108+E108</f>
        <v>0</v>
      </c>
      <c r="D108" s="63"/>
      <c r="E108" s="63"/>
    </row>
    <row r="109" spans="1:5" ht="23.25" customHeight="1" hidden="1">
      <c r="A109" s="574"/>
      <c r="B109" s="63"/>
      <c r="C109" s="63"/>
      <c r="D109" s="63"/>
      <c r="E109" s="63"/>
    </row>
    <row r="110" spans="1:5" s="208" customFormat="1" ht="15.75" customHeight="1" hidden="1">
      <c r="A110" s="575"/>
      <c r="B110" s="225" t="s">
        <v>68</v>
      </c>
      <c r="C110" s="59">
        <f>C108</f>
        <v>0</v>
      </c>
      <c r="D110" s="59">
        <f>D108</f>
        <v>0</v>
      </c>
      <c r="E110" s="59">
        <f>E108</f>
        <v>0</v>
      </c>
    </row>
    <row r="111" spans="1:5" s="208" customFormat="1" ht="33.75" customHeight="1" hidden="1">
      <c r="A111" s="573" t="s">
        <v>432</v>
      </c>
      <c r="B111" s="63"/>
      <c r="C111" s="63">
        <f>D111+E111</f>
        <v>0</v>
      </c>
      <c r="D111" s="63"/>
      <c r="E111" s="63"/>
    </row>
    <row r="112" spans="1:5" s="208" customFormat="1" ht="30" customHeight="1" hidden="1">
      <c r="A112" s="574"/>
      <c r="B112" s="63"/>
      <c r="C112" s="63">
        <f>D112+E112</f>
        <v>0</v>
      </c>
      <c r="D112" s="63"/>
      <c r="E112" s="63"/>
    </row>
    <row r="113" spans="1:5" ht="17.25" customHeight="1" hidden="1">
      <c r="A113" s="575"/>
      <c r="B113" s="225" t="s">
        <v>68</v>
      </c>
      <c r="C113" s="59">
        <f>C111+C112</f>
        <v>0</v>
      </c>
      <c r="D113" s="59">
        <f>D111+D112</f>
        <v>0</v>
      </c>
      <c r="E113" s="59">
        <f>E111</f>
        <v>0</v>
      </c>
    </row>
    <row r="114" spans="1:5" ht="33" customHeight="1" hidden="1">
      <c r="A114" s="573" t="s">
        <v>433</v>
      </c>
      <c r="B114" s="63"/>
      <c r="C114" s="63">
        <f>D114+E114</f>
        <v>0</v>
      </c>
      <c r="D114" s="63"/>
      <c r="E114" s="63"/>
    </row>
    <row r="115" spans="1:5" ht="24.75" customHeight="1" hidden="1">
      <c r="A115" s="574"/>
      <c r="B115" s="63"/>
      <c r="C115" s="63"/>
      <c r="D115" s="63"/>
      <c r="E115" s="63"/>
    </row>
    <row r="116" spans="1:5" ht="18.75" hidden="1">
      <c r="A116" s="575"/>
      <c r="B116" s="225" t="s">
        <v>68</v>
      </c>
      <c r="C116" s="59">
        <f>C114</f>
        <v>0</v>
      </c>
      <c r="D116" s="59">
        <f>D114</f>
        <v>0</v>
      </c>
      <c r="E116" s="59">
        <f>E114</f>
        <v>0</v>
      </c>
    </row>
    <row r="117" spans="1:5" ht="34.5" customHeight="1" hidden="1">
      <c r="A117" s="576" t="s">
        <v>434</v>
      </c>
      <c r="B117" s="63"/>
      <c r="C117" s="63">
        <f>D117+E117</f>
        <v>0</v>
      </c>
      <c r="D117" s="63"/>
      <c r="E117" s="63"/>
    </row>
    <row r="118" spans="1:5" ht="32.25" customHeight="1" hidden="1">
      <c r="A118" s="577"/>
      <c r="B118" s="63"/>
      <c r="C118" s="63">
        <f>D118+E118</f>
        <v>0</v>
      </c>
      <c r="D118" s="63"/>
      <c r="E118" s="63"/>
    </row>
    <row r="119" spans="1:5" ht="15" customHeight="1" hidden="1">
      <c r="A119" s="580"/>
      <c r="B119" s="225" t="s">
        <v>68</v>
      </c>
      <c r="C119" s="59">
        <f>C117+C118</f>
        <v>0</v>
      </c>
      <c r="D119" s="59">
        <f>D117+D118</f>
        <v>0</v>
      </c>
      <c r="E119" s="59">
        <f>E117</f>
        <v>0</v>
      </c>
    </row>
    <row r="120" spans="1:5" ht="32.25" customHeight="1" hidden="1">
      <c r="A120" s="576" t="s">
        <v>435</v>
      </c>
      <c r="B120" s="63"/>
      <c r="C120" s="63">
        <f>D120+E120</f>
        <v>0</v>
      </c>
      <c r="D120" s="63"/>
      <c r="E120" s="63"/>
    </row>
    <row r="121" spans="1:5" ht="38.25" customHeight="1" hidden="1">
      <c r="A121" s="577"/>
      <c r="B121" s="63"/>
      <c r="C121" s="63">
        <f>D121+E121</f>
        <v>0</v>
      </c>
      <c r="D121" s="63"/>
      <c r="E121" s="63"/>
    </row>
    <row r="122" spans="1:5" ht="19.5" customHeight="1" hidden="1">
      <c r="A122" s="580"/>
      <c r="B122" s="225" t="s">
        <v>68</v>
      </c>
      <c r="C122" s="59">
        <f>C120+C121</f>
        <v>0</v>
      </c>
      <c r="D122" s="59">
        <f>D120+D121</f>
        <v>0</v>
      </c>
      <c r="E122" s="59">
        <f>E120</f>
        <v>0</v>
      </c>
    </row>
    <row r="123" spans="1:5" ht="36" customHeight="1" hidden="1">
      <c r="A123" s="576" t="s">
        <v>436</v>
      </c>
      <c r="B123" s="63"/>
      <c r="C123" s="63">
        <f>D123+E123</f>
        <v>0</v>
      </c>
      <c r="D123" s="63"/>
      <c r="E123" s="63"/>
    </row>
    <row r="124" spans="1:5" ht="30" customHeight="1" hidden="1">
      <c r="A124" s="577"/>
      <c r="B124" s="63"/>
      <c r="C124" s="63">
        <f>D124+E124</f>
        <v>0</v>
      </c>
      <c r="D124" s="63"/>
      <c r="E124" s="63"/>
    </row>
    <row r="125" spans="1:5" ht="18" customHeight="1" hidden="1">
      <c r="A125" s="580"/>
      <c r="B125" s="225" t="s">
        <v>68</v>
      </c>
      <c r="C125" s="59">
        <f>C123+C124</f>
        <v>0</v>
      </c>
      <c r="D125" s="59">
        <f>D123+D124</f>
        <v>0</v>
      </c>
      <c r="E125" s="59">
        <f>E123</f>
        <v>0</v>
      </c>
    </row>
    <row r="126" spans="1:5" ht="33.75" customHeight="1">
      <c r="A126" s="576" t="s">
        <v>402</v>
      </c>
      <c r="B126" s="390" t="s">
        <v>118</v>
      </c>
      <c r="C126" s="63">
        <f>D126</f>
        <v>20000</v>
      </c>
      <c r="D126" s="63">
        <v>20000</v>
      </c>
      <c r="E126" s="59"/>
    </row>
    <row r="127" spans="1:5" ht="33.75" customHeight="1">
      <c r="A127" s="577"/>
      <c r="B127" s="390" t="s">
        <v>279</v>
      </c>
      <c r="C127" s="63">
        <f>D127</f>
        <v>5000</v>
      </c>
      <c r="D127" s="63">
        <v>5000</v>
      </c>
      <c r="E127" s="59"/>
    </row>
    <row r="128" spans="1:5" ht="33.75" customHeight="1">
      <c r="A128" s="577"/>
      <c r="B128" s="390" t="s">
        <v>221</v>
      </c>
      <c r="C128" s="63">
        <f>D128</f>
        <v>16000</v>
      </c>
      <c r="D128" s="63">
        <v>16000</v>
      </c>
      <c r="E128" s="59"/>
    </row>
    <row r="129" spans="1:5" ht="18" customHeight="1">
      <c r="A129" s="580"/>
      <c r="B129" s="225" t="s">
        <v>68</v>
      </c>
      <c r="C129" s="59">
        <f>C126+C127+C128</f>
        <v>41000</v>
      </c>
      <c r="D129" s="59">
        <f>D126+D127+D128</f>
        <v>41000</v>
      </c>
      <c r="E129" s="59"/>
    </row>
    <row r="130" spans="1:5" ht="19.5" customHeight="1">
      <c r="A130" s="576" t="s">
        <v>124</v>
      </c>
      <c r="B130" s="366" t="s">
        <v>9</v>
      </c>
      <c r="C130" s="63">
        <v>200000</v>
      </c>
      <c r="D130" s="63"/>
      <c r="E130" s="63">
        <v>200000</v>
      </c>
    </row>
    <row r="131" spans="1:5" ht="28.5" customHeight="1">
      <c r="A131" s="628"/>
      <c r="B131" s="63" t="s">
        <v>134</v>
      </c>
      <c r="C131" s="63">
        <f>D131</f>
        <v>25000</v>
      </c>
      <c r="D131" s="63">
        <v>25000</v>
      </c>
      <c r="E131" s="63"/>
    </row>
    <row r="132" spans="1:5" ht="18" customHeight="1">
      <c r="A132" s="580"/>
      <c r="B132" s="225" t="s">
        <v>68</v>
      </c>
      <c r="C132" s="59">
        <f>200000+C131</f>
        <v>225000</v>
      </c>
      <c r="D132" s="59">
        <f>D131</f>
        <v>25000</v>
      </c>
      <c r="E132" s="59">
        <v>200000</v>
      </c>
    </row>
    <row r="133" spans="1:5" ht="35.25" customHeight="1">
      <c r="A133" s="576" t="s">
        <v>404</v>
      </c>
      <c r="B133" s="390" t="s">
        <v>214</v>
      </c>
      <c r="C133" s="63">
        <f>D133</f>
        <v>10000</v>
      </c>
      <c r="D133" s="63">
        <v>10000</v>
      </c>
      <c r="E133" s="63"/>
    </row>
    <row r="134" spans="1:5" ht="35.25" customHeight="1">
      <c r="A134" s="589"/>
      <c r="B134" s="390" t="s">
        <v>215</v>
      </c>
      <c r="C134" s="63">
        <f>D134</f>
        <v>8000</v>
      </c>
      <c r="D134" s="63">
        <v>8000</v>
      </c>
      <c r="E134" s="63"/>
    </row>
    <row r="135" spans="1:5" ht="35.25" customHeight="1">
      <c r="A135" s="589"/>
      <c r="B135" s="390" t="s">
        <v>216</v>
      </c>
      <c r="C135" s="63">
        <f>D135</f>
        <v>12900</v>
      </c>
      <c r="D135" s="63">
        <v>12900</v>
      </c>
      <c r="E135" s="63"/>
    </row>
    <row r="136" spans="1:5" ht="35.25" customHeight="1">
      <c r="A136" s="589"/>
      <c r="B136" s="390" t="s">
        <v>217</v>
      </c>
      <c r="C136" s="63">
        <f>D136</f>
        <v>12900</v>
      </c>
      <c r="D136" s="63">
        <v>12900</v>
      </c>
      <c r="E136" s="63"/>
    </row>
    <row r="137" spans="1:5" ht="18" customHeight="1">
      <c r="A137" s="590"/>
      <c r="B137" s="225" t="s">
        <v>68</v>
      </c>
      <c r="C137" s="59">
        <f>C133+C134+C135+C136</f>
        <v>43800</v>
      </c>
      <c r="D137" s="59">
        <f>D134+D135+D136+D133</f>
        <v>43800</v>
      </c>
      <c r="E137" s="59">
        <f>E133</f>
        <v>0</v>
      </c>
    </row>
    <row r="138" spans="1:5" ht="20.25" customHeight="1">
      <c r="A138" s="627" t="s">
        <v>354</v>
      </c>
      <c r="B138" s="390" t="s">
        <v>560</v>
      </c>
      <c r="C138" s="63">
        <f>D138</f>
        <v>6000</v>
      </c>
      <c r="D138" s="63">
        <v>6000</v>
      </c>
      <c r="E138" s="59"/>
    </row>
    <row r="139" spans="1:5" ht="35.25" customHeight="1">
      <c r="A139" s="628"/>
      <c r="B139" s="390" t="s">
        <v>135</v>
      </c>
      <c r="C139" s="63">
        <f>E139</f>
        <v>20000</v>
      </c>
      <c r="D139" s="63"/>
      <c r="E139" s="59">
        <v>20000</v>
      </c>
    </row>
    <row r="140" spans="1:5" ht="18" customHeight="1">
      <c r="A140" s="580"/>
      <c r="B140" s="225" t="s">
        <v>68</v>
      </c>
      <c r="C140" s="59">
        <f>C138+C139</f>
        <v>26000</v>
      </c>
      <c r="D140" s="59">
        <f>D138</f>
        <v>6000</v>
      </c>
      <c r="E140" s="59">
        <f>E139</f>
        <v>20000</v>
      </c>
    </row>
    <row r="141" spans="1:5" ht="39.75" customHeight="1">
      <c r="A141" s="576" t="s">
        <v>429</v>
      </c>
      <c r="B141" s="390" t="s">
        <v>227</v>
      </c>
      <c r="C141" s="63">
        <f>D141</f>
        <v>20000</v>
      </c>
      <c r="D141" s="63">
        <v>20000</v>
      </c>
      <c r="E141" s="59"/>
    </row>
    <row r="142" spans="1:5" ht="52.5" customHeight="1">
      <c r="A142" s="589"/>
      <c r="B142" s="390" t="s">
        <v>228</v>
      </c>
      <c r="C142" s="63">
        <f>E142</f>
        <v>10000</v>
      </c>
      <c r="D142" s="63"/>
      <c r="E142" s="63">
        <v>10000</v>
      </c>
    </row>
    <row r="143" spans="1:5" ht="30.75" customHeight="1">
      <c r="A143" s="625"/>
      <c r="B143" s="390" t="s">
        <v>233</v>
      </c>
      <c r="C143" s="63">
        <f>D143</f>
        <v>20000</v>
      </c>
      <c r="D143" s="63">
        <v>20000</v>
      </c>
      <c r="E143" s="63"/>
    </row>
    <row r="144" spans="1:5" s="208" customFormat="1" ht="20.25" customHeight="1">
      <c r="A144" s="590"/>
      <c r="B144" s="391" t="s">
        <v>68</v>
      </c>
      <c r="C144" s="59">
        <f>C141+C142+C143</f>
        <v>50000</v>
      </c>
      <c r="D144" s="59">
        <f>D141+D143</f>
        <v>40000</v>
      </c>
      <c r="E144" s="59">
        <f>E142</f>
        <v>10000</v>
      </c>
    </row>
    <row r="145" spans="1:5" s="208" customFormat="1" ht="36" customHeight="1">
      <c r="A145" s="626" t="s">
        <v>432</v>
      </c>
      <c r="B145" s="390" t="s">
        <v>233</v>
      </c>
      <c r="C145" s="63">
        <f>D145</f>
        <v>10000</v>
      </c>
      <c r="D145" s="63">
        <v>10000</v>
      </c>
      <c r="E145" s="59"/>
    </row>
    <row r="146" spans="1:5" s="208" customFormat="1" ht="49.5" customHeight="1">
      <c r="A146" s="589"/>
      <c r="B146" s="390" t="s">
        <v>234</v>
      </c>
      <c r="C146" s="63">
        <f>D146</f>
        <v>5000</v>
      </c>
      <c r="D146" s="63">
        <v>5000</v>
      </c>
      <c r="E146" s="59"/>
    </row>
    <row r="147" spans="1:5" s="208" customFormat="1" ht="21" customHeight="1">
      <c r="A147" s="590"/>
      <c r="B147" s="391" t="s">
        <v>68</v>
      </c>
      <c r="C147" s="59">
        <f>C145+C146</f>
        <v>15000</v>
      </c>
      <c r="D147" s="59">
        <f>D145+D146</f>
        <v>15000</v>
      </c>
      <c r="E147" s="59"/>
    </row>
    <row r="148" spans="1:5" ht="35.25" customHeight="1">
      <c r="A148" s="623" t="s">
        <v>437</v>
      </c>
      <c r="B148" s="63" t="s">
        <v>125</v>
      </c>
      <c r="C148" s="63">
        <f>D148+E148</f>
        <v>180000</v>
      </c>
      <c r="D148" s="63">
        <v>180000</v>
      </c>
      <c r="E148" s="59"/>
    </row>
    <row r="149" spans="1:5" ht="36.75" customHeight="1">
      <c r="A149" s="623"/>
      <c r="B149" s="63" t="s">
        <v>23</v>
      </c>
      <c r="C149" s="63">
        <f>D149+E149</f>
        <v>60000</v>
      </c>
      <c r="D149" s="63">
        <v>60000</v>
      </c>
      <c r="E149" s="63"/>
    </row>
    <row r="150" spans="1:5" ht="25.5" customHeight="1" hidden="1">
      <c r="A150" s="623"/>
      <c r="B150" s="63"/>
      <c r="C150" s="63">
        <f>D150+E150</f>
        <v>0</v>
      </c>
      <c r="D150" s="63"/>
      <c r="E150" s="63"/>
    </row>
    <row r="151" spans="1:5" ht="35.25" customHeight="1">
      <c r="A151" s="623"/>
      <c r="B151" s="63" t="s">
        <v>136</v>
      </c>
      <c r="C151" s="63">
        <f>D151</f>
        <v>4000</v>
      </c>
      <c r="D151" s="63">
        <v>4000</v>
      </c>
      <c r="E151" s="63"/>
    </row>
    <row r="152" spans="1:5" ht="77.25" customHeight="1">
      <c r="A152" s="623"/>
      <c r="B152" s="63" t="s">
        <v>137</v>
      </c>
      <c r="C152" s="63">
        <f>D152</f>
        <v>7000</v>
      </c>
      <c r="D152" s="63">
        <v>7000</v>
      </c>
      <c r="E152" s="63"/>
    </row>
    <row r="153" spans="1:5" ht="40.5" customHeight="1">
      <c r="A153" s="623"/>
      <c r="B153" s="390" t="s">
        <v>233</v>
      </c>
      <c r="C153" s="63">
        <f>D153</f>
        <v>25000</v>
      </c>
      <c r="D153" s="63">
        <v>25000</v>
      </c>
      <c r="E153" s="63"/>
    </row>
    <row r="154" spans="1:5" ht="18" customHeight="1">
      <c r="A154" s="623"/>
      <c r="B154" s="225" t="s">
        <v>68</v>
      </c>
      <c r="C154" s="59">
        <f>C149+C150+C148+C151+C152+C153</f>
        <v>276000</v>
      </c>
      <c r="D154" s="59">
        <f>D149+D150+D148+D151+D152+D153</f>
        <v>276000</v>
      </c>
      <c r="E154" s="59">
        <f>E149+E150</f>
        <v>0</v>
      </c>
    </row>
    <row r="155" spans="1:10" ht="25.5" customHeight="1" hidden="1">
      <c r="A155" s="623"/>
      <c r="B155" s="229"/>
      <c r="C155" s="229"/>
      <c r="D155" s="230"/>
      <c r="E155" s="230"/>
      <c r="J155" s="290"/>
    </row>
    <row r="156" spans="1:10" ht="57" customHeight="1">
      <c r="A156" s="581" t="s">
        <v>439</v>
      </c>
      <c r="B156" s="223" t="s">
        <v>301</v>
      </c>
      <c r="C156" s="222">
        <f>D156+E156</f>
        <v>200000</v>
      </c>
      <c r="D156" s="392"/>
      <c r="E156" s="392">
        <v>200000</v>
      </c>
      <c r="J156" s="290"/>
    </row>
    <row r="157" spans="1:10" ht="36.75" customHeight="1">
      <c r="A157" s="624"/>
      <c r="B157" s="455" t="s">
        <v>237</v>
      </c>
      <c r="C157" s="456">
        <f>E157</f>
        <v>263000</v>
      </c>
      <c r="D157" s="457"/>
      <c r="E157" s="457">
        <v>263000</v>
      </c>
      <c r="J157" s="290"/>
    </row>
    <row r="158" spans="1:10" ht="36.75" customHeight="1">
      <c r="A158" s="624"/>
      <c r="B158" s="455" t="s">
        <v>55</v>
      </c>
      <c r="C158" s="456">
        <f>E158</f>
        <v>62458</v>
      </c>
      <c r="D158" s="457"/>
      <c r="E158" s="457">
        <v>62458</v>
      </c>
      <c r="J158" s="290"/>
    </row>
    <row r="159" spans="1:5" ht="18" customHeight="1">
      <c r="A159" s="583"/>
      <c r="B159" s="450" t="s">
        <v>68</v>
      </c>
      <c r="C159" s="448">
        <f>C156+C157+C158</f>
        <v>525458</v>
      </c>
      <c r="D159" s="448">
        <f>D156</f>
        <v>0</v>
      </c>
      <c r="E159" s="448">
        <f>E156+E157+E158</f>
        <v>525458</v>
      </c>
    </row>
    <row r="160" spans="1:5" ht="28.5" customHeight="1">
      <c r="A160" s="581" t="s">
        <v>544</v>
      </c>
      <c r="B160" s="390" t="s">
        <v>411</v>
      </c>
      <c r="C160" s="229">
        <v>53200</v>
      </c>
      <c r="D160" s="229">
        <v>53200</v>
      </c>
      <c r="E160" s="235"/>
    </row>
    <row r="161" spans="1:5" ht="30.75" customHeight="1">
      <c r="A161" s="582"/>
      <c r="B161" s="390" t="s">
        <v>412</v>
      </c>
      <c r="C161" s="229">
        <f aca="true" t="shared" si="0" ref="C161:C170">D161</f>
        <v>172900</v>
      </c>
      <c r="D161" s="229">
        <v>172900</v>
      </c>
      <c r="E161" s="449"/>
    </row>
    <row r="162" spans="1:5" ht="29.25" customHeight="1">
      <c r="A162" s="582"/>
      <c r="B162" s="390" t="s">
        <v>413</v>
      </c>
      <c r="C162" s="452">
        <f t="shared" si="0"/>
        <v>10750</v>
      </c>
      <c r="D162" s="452">
        <v>10750</v>
      </c>
      <c r="E162" s="451"/>
    </row>
    <row r="163" spans="1:5" ht="29.25" customHeight="1">
      <c r="A163" s="582"/>
      <c r="B163" s="390" t="s">
        <v>414</v>
      </c>
      <c r="C163" s="229">
        <f t="shared" si="0"/>
        <v>76800</v>
      </c>
      <c r="D163" s="229">
        <v>76800</v>
      </c>
      <c r="E163" s="448"/>
    </row>
    <row r="164" spans="1:5" ht="43.5" customHeight="1">
      <c r="A164" s="582"/>
      <c r="B164" s="390" t="s">
        <v>415</v>
      </c>
      <c r="C164" s="477">
        <f t="shared" si="0"/>
        <v>31452.24</v>
      </c>
      <c r="D164" s="477">
        <f>50000-18547.76</f>
        <v>31452.24</v>
      </c>
      <c r="E164" s="235"/>
    </row>
    <row r="165" spans="1:5" ht="48" customHeight="1">
      <c r="A165" s="582"/>
      <c r="B165" s="390" t="s">
        <v>416</v>
      </c>
      <c r="C165" s="229">
        <f t="shared" si="0"/>
        <v>61845</v>
      </c>
      <c r="D165" s="229">
        <f>106000-44155</f>
        <v>61845</v>
      </c>
      <c r="E165" s="237"/>
    </row>
    <row r="166" spans="1:5" ht="29.25" customHeight="1">
      <c r="A166" s="582"/>
      <c r="B166" s="390" t="s">
        <v>417</v>
      </c>
      <c r="C166" s="477">
        <f t="shared" si="0"/>
        <v>76474.78</v>
      </c>
      <c r="D166" s="477">
        <f>140500-64025.22</f>
        <v>76474.78</v>
      </c>
      <c r="E166" s="448"/>
    </row>
    <row r="167" spans="1:5" ht="18" customHeight="1">
      <c r="A167" s="582"/>
      <c r="B167" s="230" t="s">
        <v>418</v>
      </c>
      <c r="C167" s="229">
        <f t="shared" si="0"/>
        <v>13480</v>
      </c>
      <c r="D167" s="229">
        <f>19200-5720</f>
        <v>13480</v>
      </c>
      <c r="E167" s="448"/>
    </row>
    <row r="168" spans="1:5" ht="31.5" customHeight="1">
      <c r="A168" s="582"/>
      <c r="B168" s="390" t="s">
        <v>419</v>
      </c>
      <c r="C168" s="229">
        <f t="shared" si="0"/>
        <v>133580</v>
      </c>
      <c r="D168" s="229">
        <f>209000-75420</f>
        <v>133580</v>
      </c>
      <c r="E168" s="448"/>
    </row>
    <row r="169" spans="1:5" ht="31.5" customHeight="1">
      <c r="A169" s="582"/>
      <c r="B169" s="390" t="s">
        <v>420</v>
      </c>
      <c r="C169" s="229">
        <f t="shared" si="0"/>
        <v>566017.76</v>
      </c>
      <c r="D169" s="229">
        <f>944200+95000+25000+5000-503182.24</f>
        <v>566017.76</v>
      </c>
      <c r="E169" s="448"/>
    </row>
    <row r="170" spans="1:5" ht="46.5" customHeight="1">
      <c r="A170" s="582"/>
      <c r="B170" s="390" t="s">
        <v>218</v>
      </c>
      <c r="C170" s="229">
        <f t="shared" si="0"/>
        <v>123700</v>
      </c>
      <c r="D170" s="229">
        <f>28100+25400+6500+500+9500+20000+33700</f>
        <v>123700</v>
      </c>
      <c r="E170" s="448"/>
    </row>
    <row r="171" spans="1:5" ht="18" customHeight="1">
      <c r="A171" s="582"/>
      <c r="B171" s="447" t="s">
        <v>68</v>
      </c>
      <c r="C171" s="502">
        <f>C160+C161+C162+C163+C164+C165+C166+C167+C168+C169+C170</f>
        <v>1320199.78</v>
      </c>
      <c r="D171" s="502">
        <f>D160+D161+D162+D163+D164+D165+D166+D167+D168+D169+D170</f>
        <v>1320199.78</v>
      </c>
      <c r="E171" s="448"/>
    </row>
    <row r="172" spans="1:5" ht="31.5" customHeight="1">
      <c r="A172" s="581" t="s">
        <v>421</v>
      </c>
      <c r="B172" s="390" t="s">
        <v>420</v>
      </c>
      <c r="C172" s="477">
        <f aca="true" t="shared" si="1" ref="C172:C183">D172</f>
        <v>857773.47</v>
      </c>
      <c r="D172" s="477">
        <f>823191+766420+282585-1014422.53</f>
        <v>857773.47</v>
      </c>
      <c r="E172" s="237"/>
    </row>
    <row r="173" spans="1:5" ht="31.5" customHeight="1">
      <c r="A173" s="559"/>
      <c r="B173" s="390" t="s">
        <v>422</v>
      </c>
      <c r="C173" s="229">
        <f t="shared" si="1"/>
        <v>1621224</v>
      </c>
      <c r="D173" s="229">
        <f>1581224+40000</f>
        <v>1621224</v>
      </c>
      <c r="E173" s="448"/>
    </row>
    <row r="174" spans="1:5" ht="49.5" customHeight="1">
      <c r="A174" s="559"/>
      <c r="B174" s="390" t="s">
        <v>416</v>
      </c>
      <c r="C174" s="477">
        <f t="shared" si="1"/>
        <v>39458.85</v>
      </c>
      <c r="D174" s="477">
        <f>63000+8355-31896.15</f>
        <v>39458.85</v>
      </c>
      <c r="E174" s="448"/>
    </row>
    <row r="175" spans="1:5" ht="30.75" customHeight="1">
      <c r="A175" s="559"/>
      <c r="B175" s="390" t="s">
        <v>412</v>
      </c>
      <c r="C175" s="229">
        <f t="shared" si="1"/>
        <v>85000</v>
      </c>
      <c r="D175" s="229">
        <v>85000</v>
      </c>
      <c r="E175" s="448"/>
    </row>
    <row r="176" spans="1:5" ht="33.75" customHeight="1">
      <c r="A176" s="559"/>
      <c r="B176" s="390" t="s">
        <v>411</v>
      </c>
      <c r="C176" s="229">
        <f t="shared" si="1"/>
        <v>99300</v>
      </c>
      <c r="D176" s="229">
        <v>99300</v>
      </c>
      <c r="E176" s="448"/>
    </row>
    <row r="177" spans="1:5" ht="34.5" customHeight="1">
      <c r="A177" s="559"/>
      <c r="B177" s="390" t="s">
        <v>413</v>
      </c>
      <c r="C177" s="229">
        <f t="shared" si="1"/>
        <v>12000</v>
      </c>
      <c r="D177" s="229">
        <v>12000</v>
      </c>
      <c r="E177" s="448"/>
    </row>
    <row r="178" spans="1:5" ht="30.75" customHeight="1">
      <c r="A178" s="559"/>
      <c r="B178" s="390" t="s">
        <v>417</v>
      </c>
      <c r="C178" s="477">
        <f t="shared" si="1"/>
        <v>48980.5</v>
      </c>
      <c r="D178" s="477">
        <f>100000-51019.5</f>
        <v>48980.5</v>
      </c>
      <c r="E178" s="448"/>
    </row>
    <row r="179" spans="1:5" ht="19.5" customHeight="1">
      <c r="A179" s="559"/>
      <c r="B179" s="230" t="s">
        <v>418</v>
      </c>
      <c r="C179" s="477">
        <f t="shared" si="1"/>
        <v>23673.76</v>
      </c>
      <c r="D179" s="477">
        <f>41000-17326.24</f>
        <v>23673.76</v>
      </c>
      <c r="E179" s="448"/>
    </row>
    <row r="180" spans="1:5" ht="29.25" customHeight="1">
      <c r="A180" s="559"/>
      <c r="B180" s="390" t="s">
        <v>414</v>
      </c>
      <c r="C180" s="229">
        <f t="shared" si="1"/>
        <v>155200</v>
      </c>
      <c r="D180" s="229">
        <f>25200+130000</f>
        <v>155200</v>
      </c>
      <c r="E180" s="448"/>
    </row>
    <row r="181" spans="1:5" ht="29.25" customHeight="1">
      <c r="A181" s="559"/>
      <c r="B181" s="390" t="s">
        <v>423</v>
      </c>
      <c r="C181" s="229">
        <f t="shared" si="1"/>
        <v>11000</v>
      </c>
      <c r="D181" s="229">
        <v>11000</v>
      </c>
      <c r="E181" s="448"/>
    </row>
    <row r="182" spans="1:5" ht="29.25" customHeight="1">
      <c r="A182" s="559"/>
      <c r="B182" s="390" t="s">
        <v>424</v>
      </c>
      <c r="C182" s="229">
        <f t="shared" si="1"/>
        <v>151000</v>
      </c>
      <c r="D182" s="229">
        <v>151000</v>
      </c>
      <c r="E182" s="448"/>
    </row>
    <row r="183" spans="1:5" ht="29.25" customHeight="1">
      <c r="A183" s="559"/>
      <c r="B183" s="467" t="s">
        <v>235</v>
      </c>
      <c r="C183" s="478">
        <f t="shared" si="1"/>
        <v>5115.45</v>
      </c>
      <c r="D183" s="478">
        <f>5930-814.55</f>
        <v>5115.45</v>
      </c>
      <c r="E183" s="448"/>
    </row>
    <row r="184" spans="1:5" ht="18" customHeight="1">
      <c r="A184" s="622"/>
      <c r="B184" s="225" t="s">
        <v>68</v>
      </c>
      <c r="C184" s="479">
        <f>C172+C173+C174+C175+C176+C177+C178+C179+C180+C181+C182+C183</f>
        <v>3109726.03</v>
      </c>
      <c r="D184" s="479">
        <f>D172+D173+D174+D175+D176+D177+D178+D179+D180+D181+D182+D183</f>
        <v>3109726.03</v>
      </c>
      <c r="E184" s="465"/>
    </row>
    <row r="185" spans="1:5" ht="20.25" customHeight="1">
      <c r="A185" s="464"/>
      <c r="B185" s="468" t="s">
        <v>67</v>
      </c>
      <c r="C185" s="480">
        <f>C154+C132+C107+C95+C64+C60+C47+C44+C24+C17+C159+C129+C140+C171+C184+C137+C53+C39+C55+C144+C91+C147+C49+C51</f>
        <v>7226583.8100000005</v>
      </c>
      <c r="D185" s="480">
        <f>D154+D107+D64+D60+D47+D44+D17+D129+D140+D171+D184+D137+D53+D39+D55+D144+D91+D147+D24+D49+D95+D51+D132</f>
        <v>5394125.81</v>
      </c>
      <c r="E185" s="466">
        <f>E159+E132+E95+E60+E24+E137+E144+E91+E140</f>
        <v>1832458</v>
      </c>
    </row>
    <row r="186" spans="1:5" ht="20.25" customHeight="1">
      <c r="A186" s="190"/>
      <c r="B186" s="214"/>
      <c r="C186" s="214"/>
      <c r="D186" s="214"/>
      <c r="E186" s="214"/>
    </row>
    <row r="187" spans="1:5" ht="18.75">
      <c r="A187" s="199" t="s">
        <v>248</v>
      </c>
      <c r="B187" s="620" t="s">
        <v>249</v>
      </c>
      <c r="C187" s="621"/>
      <c r="D187" s="376"/>
      <c r="E187" s="393"/>
    </row>
    <row r="188" spans="1:5" ht="36" customHeight="1">
      <c r="A188" s="193"/>
      <c r="B188" s="194"/>
      <c r="C188" s="194"/>
      <c r="D188" s="194"/>
      <c r="E188" s="194"/>
    </row>
  </sheetData>
  <sheetProtection/>
  <mergeCells count="44">
    <mergeCell ref="A83:A85"/>
    <mergeCell ref="A92:A95"/>
    <mergeCell ref="A34:A36"/>
    <mergeCell ref="A45:A47"/>
    <mergeCell ref="A61:A64"/>
    <mergeCell ref="A65:A67"/>
    <mergeCell ref="A68:A70"/>
    <mergeCell ref="A56:A60"/>
    <mergeCell ref="A74:A76"/>
    <mergeCell ref="A71:A73"/>
    <mergeCell ref="B4:E4"/>
    <mergeCell ref="A5:D5"/>
    <mergeCell ref="A9:A11"/>
    <mergeCell ref="A12:A14"/>
    <mergeCell ref="A18:A30"/>
    <mergeCell ref="A108:A110"/>
    <mergeCell ref="A130:A132"/>
    <mergeCell ref="A31:A33"/>
    <mergeCell ref="A48:A49"/>
    <mergeCell ref="A54:A55"/>
    <mergeCell ref="A114:A116"/>
    <mergeCell ref="A111:A113"/>
    <mergeCell ref="A86:A91"/>
    <mergeCell ref="A37:A39"/>
    <mergeCell ref="A126:A129"/>
    <mergeCell ref="A117:A119"/>
    <mergeCell ref="A120:A122"/>
    <mergeCell ref="A40:A44"/>
    <mergeCell ref="A77:A79"/>
    <mergeCell ref="A80:A82"/>
    <mergeCell ref="A96:A98"/>
    <mergeCell ref="A99:A101"/>
    <mergeCell ref="A102:A104"/>
    <mergeCell ref="A105:A107"/>
    <mergeCell ref="B187:C187"/>
    <mergeCell ref="A123:A125"/>
    <mergeCell ref="A160:A171"/>
    <mergeCell ref="A172:A184"/>
    <mergeCell ref="A148:A155"/>
    <mergeCell ref="A156:A159"/>
    <mergeCell ref="A133:A137"/>
    <mergeCell ref="A141:A144"/>
    <mergeCell ref="A145:A147"/>
    <mergeCell ref="A138:A140"/>
  </mergeCells>
  <printOptions/>
  <pageMargins left="0.35" right="0.23" top="0.26" bottom="0.17" header="0.17" footer="0.17"/>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zoomScalePageLayoutView="0" workbookViewId="0" topLeftCell="A4">
      <selection activeCell="N20" sqref="N20"/>
    </sheetView>
  </sheetViews>
  <sheetFormatPr defaultColWidth="9.16015625" defaultRowHeight="12.75" customHeight="1"/>
  <cols>
    <col min="1" max="1" width="9.5" style="3" customWidth="1"/>
    <col min="2" max="2" width="46.33203125" style="3" customWidth="1"/>
    <col min="3" max="6" width="16.33203125" style="3" customWidth="1"/>
    <col min="7" max="12" width="9.16015625" style="3" customWidth="1"/>
    <col min="13" max="16384" width="9.16015625" style="5" customWidth="1"/>
  </cols>
  <sheetData>
    <row r="1" spans="1:12" s="28" customFormat="1" ht="12.75" customHeight="1">
      <c r="A1" s="27"/>
      <c r="B1" s="27"/>
      <c r="C1" s="27"/>
      <c r="D1" s="27"/>
      <c r="E1" s="27"/>
      <c r="F1" s="27"/>
      <c r="G1" s="27"/>
      <c r="H1" s="27"/>
      <c r="I1" s="27"/>
      <c r="J1" s="27"/>
      <c r="K1" s="27"/>
      <c r="L1" s="27"/>
    </row>
    <row r="3" spans="3:13" ht="78.75" customHeight="1">
      <c r="C3" s="529" t="s">
        <v>177</v>
      </c>
      <c r="D3" s="529"/>
      <c r="E3" s="529"/>
      <c r="F3" s="529"/>
      <c r="M3" s="3"/>
    </row>
    <row r="4" spans="1:6" ht="36" customHeight="1">
      <c r="A4" s="525" t="s">
        <v>178</v>
      </c>
      <c r="B4" s="525"/>
      <c r="C4" s="525"/>
      <c r="D4" s="525"/>
      <c r="E4" s="525"/>
      <c r="F4" s="525"/>
    </row>
    <row r="5" spans="1:6" ht="12.75" customHeight="1">
      <c r="A5" s="528"/>
      <c r="B5" s="528"/>
      <c r="C5" s="528"/>
      <c r="D5" s="528"/>
      <c r="E5" s="528"/>
      <c r="F5" s="47" t="s">
        <v>94</v>
      </c>
    </row>
    <row r="6" spans="1:12" s="15" customFormat="1" ht="24.75" customHeight="1">
      <c r="A6" s="522" t="s">
        <v>26</v>
      </c>
      <c r="B6" s="522" t="s">
        <v>27</v>
      </c>
      <c r="C6" s="522" t="s">
        <v>68</v>
      </c>
      <c r="D6" s="522" t="s">
        <v>65</v>
      </c>
      <c r="E6" s="522" t="s">
        <v>66</v>
      </c>
      <c r="F6" s="522"/>
      <c r="G6" s="14"/>
      <c r="H6" s="14"/>
      <c r="I6" s="14"/>
      <c r="J6" s="14"/>
      <c r="K6" s="14"/>
      <c r="L6" s="14"/>
    </row>
    <row r="7" spans="1:12" s="15" customFormat="1" ht="38.25" customHeight="1">
      <c r="A7" s="522"/>
      <c r="B7" s="522"/>
      <c r="C7" s="522"/>
      <c r="D7" s="522"/>
      <c r="E7" s="1" t="s">
        <v>68</v>
      </c>
      <c r="F7" s="34" t="s">
        <v>77</v>
      </c>
      <c r="G7" s="14"/>
      <c r="H7" s="14"/>
      <c r="I7" s="14"/>
      <c r="J7" s="14"/>
      <c r="K7" s="14"/>
      <c r="L7" s="14"/>
    </row>
    <row r="8" spans="1:12" s="16" customFormat="1" ht="26.25" customHeight="1">
      <c r="A8" s="37"/>
      <c r="B8" s="41" t="s">
        <v>28</v>
      </c>
      <c r="C8" s="38"/>
      <c r="D8" s="39"/>
      <c r="E8" s="39"/>
      <c r="F8" s="40"/>
      <c r="G8" s="3"/>
      <c r="H8" s="3"/>
      <c r="I8" s="3"/>
      <c r="J8" s="3"/>
      <c r="K8" s="3"/>
      <c r="L8" s="3"/>
    </row>
    <row r="9" spans="1:12" s="18" customFormat="1" ht="36" customHeight="1">
      <c r="A9" s="42">
        <v>400000</v>
      </c>
      <c r="B9" s="48" t="s">
        <v>29</v>
      </c>
      <c r="C9" s="49"/>
      <c r="D9" s="50"/>
      <c r="E9" s="50"/>
      <c r="F9" s="51"/>
      <c r="G9" s="17"/>
      <c r="H9" s="17"/>
      <c r="I9" s="17"/>
      <c r="J9" s="17"/>
      <c r="K9" s="17"/>
      <c r="L9" s="17"/>
    </row>
    <row r="10" spans="1:12" s="20" customFormat="1" ht="20.25" customHeight="1">
      <c r="A10" s="43">
        <v>401000</v>
      </c>
      <c r="B10" s="44" t="s">
        <v>30</v>
      </c>
      <c r="C10" s="52"/>
      <c r="D10" s="53"/>
      <c r="E10" s="53"/>
      <c r="F10" s="51"/>
      <c r="G10" s="19"/>
      <c r="H10" s="19"/>
      <c r="I10" s="19"/>
      <c r="J10" s="19"/>
      <c r="K10" s="19"/>
      <c r="L10" s="19"/>
    </row>
    <row r="11" spans="1:12" s="20" customFormat="1" ht="20.25" customHeight="1">
      <c r="A11" s="45">
        <v>401100</v>
      </c>
      <c r="B11" s="46" t="s">
        <v>31</v>
      </c>
      <c r="C11" s="54"/>
      <c r="D11" s="55"/>
      <c r="E11" s="55"/>
      <c r="F11" s="51"/>
      <c r="G11" s="19"/>
      <c r="H11" s="19"/>
      <c r="I11" s="19"/>
      <c r="J11" s="19"/>
      <c r="K11" s="19"/>
      <c r="L11" s="19"/>
    </row>
    <row r="12" spans="1:12" s="20" customFormat="1" ht="20.25" customHeight="1">
      <c r="A12" s="45">
        <v>401200</v>
      </c>
      <c r="B12" s="46" t="s">
        <v>32</v>
      </c>
      <c r="C12" s="54"/>
      <c r="D12" s="55"/>
      <c r="E12" s="55"/>
      <c r="F12" s="51"/>
      <c r="G12" s="19"/>
      <c r="H12" s="19"/>
      <c r="I12" s="19"/>
      <c r="J12" s="19"/>
      <c r="K12" s="19"/>
      <c r="L12" s="19"/>
    </row>
    <row r="13" spans="1:12" s="20" customFormat="1" ht="20.25" customHeight="1">
      <c r="A13" s="43">
        <v>402000</v>
      </c>
      <c r="B13" s="44" t="s">
        <v>33</v>
      </c>
      <c r="C13" s="52"/>
      <c r="D13" s="53"/>
      <c r="E13" s="53"/>
      <c r="F13" s="51"/>
      <c r="G13" s="19"/>
      <c r="H13" s="19"/>
      <c r="I13" s="19"/>
      <c r="J13" s="19"/>
      <c r="K13" s="19"/>
      <c r="L13" s="19"/>
    </row>
    <row r="14" spans="1:12" s="20" customFormat="1" ht="20.25" customHeight="1">
      <c r="A14" s="45">
        <v>402100</v>
      </c>
      <c r="B14" s="46" t="s">
        <v>34</v>
      </c>
      <c r="C14" s="54"/>
      <c r="D14" s="55"/>
      <c r="E14" s="55"/>
      <c r="F14" s="51"/>
      <c r="G14" s="19"/>
      <c r="H14" s="19"/>
      <c r="I14" s="19"/>
      <c r="J14" s="19"/>
      <c r="K14" s="19"/>
      <c r="L14" s="19"/>
    </row>
    <row r="15" spans="1:12" s="20" customFormat="1" ht="20.25" customHeight="1">
      <c r="A15" s="45">
        <v>402200</v>
      </c>
      <c r="B15" s="46" t="s">
        <v>35</v>
      </c>
      <c r="C15" s="54"/>
      <c r="D15" s="55"/>
      <c r="E15" s="55"/>
      <c r="F15" s="51"/>
      <c r="G15" s="19"/>
      <c r="H15" s="19"/>
      <c r="I15" s="19"/>
      <c r="J15" s="19"/>
      <c r="K15" s="19"/>
      <c r="L15" s="19"/>
    </row>
    <row r="16" spans="1:12" s="20" customFormat="1" ht="20.25" customHeight="1">
      <c r="A16" s="45" t="s">
        <v>79</v>
      </c>
      <c r="B16" s="46" t="s">
        <v>79</v>
      </c>
      <c r="C16" s="54"/>
      <c r="D16" s="55"/>
      <c r="E16" s="55"/>
      <c r="F16" s="51"/>
      <c r="G16" s="19"/>
      <c r="H16" s="19"/>
      <c r="I16" s="19"/>
      <c r="J16" s="19"/>
      <c r="K16" s="19"/>
      <c r="L16" s="19"/>
    </row>
    <row r="17" spans="1:12" s="18" customFormat="1" ht="36.75" customHeight="1">
      <c r="A17" s="42">
        <v>600000</v>
      </c>
      <c r="B17" s="48" t="s">
        <v>36</v>
      </c>
      <c r="C17" s="49"/>
      <c r="D17" s="50"/>
      <c r="E17" s="50"/>
      <c r="F17" s="51"/>
      <c r="G17" s="17"/>
      <c r="H17" s="17"/>
      <c r="I17" s="17"/>
      <c r="J17" s="17"/>
      <c r="K17" s="17"/>
      <c r="L17" s="17"/>
    </row>
    <row r="18" spans="1:12" s="20" customFormat="1" ht="45">
      <c r="A18" s="43">
        <v>601000</v>
      </c>
      <c r="B18" s="44" t="s">
        <v>37</v>
      </c>
      <c r="C18" s="52"/>
      <c r="D18" s="53"/>
      <c r="E18" s="53"/>
      <c r="F18" s="51"/>
      <c r="G18" s="19"/>
      <c r="H18" s="19"/>
      <c r="I18" s="19"/>
      <c r="J18" s="19"/>
      <c r="K18" s="19"/>
      <c r="L18" s="19"/>
    </row>
    <row r="19" spans="1:12" s="20" customFormat="1" ht="18.75" customHeight="1">
      <c r="A19" s="45">
        <v>601200</v>
      </c>
      <c r="B19" s="46" t="s">
        <v>38</v>
      </c>
      <c r="C19" s="54"/>
      <c r="D19" s="55"/>
      <c r="E19" s="55"/>
      <c r="F19" s="51"/>
      <c r="G19" s="19"/>
      <c r="H19" s="19"/>
      <c r="I19" s="19"/>
      <c r="J19" s="19"/>
      <c r="K19" s="19"/>
      <c r="L19" s="19"/>
    </row>
    <row r="20" spans="1:12" s="22" customFormat="1" ht="18.75" customHeight="1">
      <c r="A20" s="45">
        <v>601220</v>
      </c>
      <c r="B20" s="46" t="s">
        <v>39</v>
      </c>
      <c r="C20" s="54"/>
      <c r="D20" s="55"/>
      <c r="E20" s="55"/>
      <c r="F20" s="51"/>
      <c r="G20" s="21"/>
      <c r="H20" s="21"/>
      <c r="I20" s="21"/>
      <c r="J20" s="21"/>
      <c r="K20" s="21"/>
      <c r="L20" s="21"/>
    </row>
    <row r="21" spans="1:12" s="20" customFormat="1" ht="18.75" customHeight="1">
      <c r="A21" s="43">
        <v>602000</v>
      </c>
      <c r="B21" s="44" t="s">
        <v>40</v>
      </c>
      <c r="C21" s="52"/>
      <c r="D21" s="53"/>
      <c r="E21" s="53"/>
      <c r="F21" s="51"/>
      <c r="G21" s="19"/>
      <c r="H21" s="19"/>
      <c r="I21" s="19"/>
      <c r="J21" s="19"/>
      <c r="K21" s="19"/>
      <c r="L21" s="19"/>
    </row>
    <row r="22" spans="1:12" s="20" customFormat="1" ht="18.75" customHeight="1">
      <c r="A22" s="45">
        <v>602100</v>
      </c>
      <c r="B22" s="46" t="s">
        <v>41</v>
      </c>
      <c r="C22" s="54"/>
      <c r="D22" s="55"/>
      <c r="E22" s="55"/>
      <c r="F22" s="51"/>
      <c r="G22" s="19"/>
      <c r="H22" s="19"/>
      <c r="I22" s="19"/>
      <c r="J22" s="19"/>
      <c r="K22" s="19"/>
      <c r="L22" s="19"/>
    </row>
    <row r="23" spans="1:6" ht="21.75" customHeight="1">
      <c r="A23" s="45" t="s">
        <v>79</v>
      </c>
      <c r="B23" s="46" t="s">
        <v>79</v>
      </c>
      <c r="C23" s="56"/>
      <c r="D23" s="56"/>
      <c r="E23" s="56"/>
      <c r="F23" s="57"/>
    </row>
    <row r="24" spans="1:12" ht="12.75">
      <c r="A24" s="5"/>
      <c r="B24" s="5"/>
      <c r="C24" s="5"/>
      <c r="D24" s="5"/>
      <c r="E24" s="5"/>
      <c r="F24" s="5"/>
      <c r="G24" s="5"/>
      <c r="H24" s="5"/>
      <c r="I24" s="5"/>
      <c r="J24" s="5"/>
      <c r="K24" s="5"/>
      <c r="L24" s="5"/>
    </row>
  </sheetData>
  <sheetProtection/>
  <mergeCells count="8">
    <mergeCell ref="A5:E5"/>
    <mergeCell ref="C3:F3"/>
    <mergeCell ref="C6:C7"/>
    <mergeCell ref="D6:D7"/>
    <mergeCell ref="E6:F6"/>
    <mergeCell ref="B6:B7"/>
    <mergeCell ref="A6:A7"/>
    <mergeCell ref="A4:F4"/>
  </mergeCells>
  <printOptions horizontalCentered="1"/>
  <pageMargins left="0.7480314960629921" right="0.7480314960629921" top="0.5905511811023623" bottom="0.7874015748031497" header="0.5118110236220472" footer="0.5118110236220472"/>
  <pageSetup fitToHeight="0" fitToWidth="1" horizontalDpi="300" verticalDpi="300" orientation="portrait" paperSize="9" scale="92"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134"/>
  <sheetViews>
    <sheetView showGridLines="0" showZeros="0" view="pageBreakPreview" zoomScale="90" zoomScaleNormal="120" zoomScaleSheetLayoutView="90" zoomScalePageLayoutView="0" workbookViewId="0" topLeftCell="B107">
      <selection activeCell="F127" sqref="F127"/>
    </sheetView>
  </sheetViews>
  <sheetFormatPr defaultColWidth="9.16015625" defaultRowHeight="12.75"/>
  <cols>
    <col min="1" max="1" width="3.83203125" style="7" hidden="1" customWidth="1"/>
    <col min="2" max="2" width="12.33203125" style="70" customWidth="1"/>
    <col min="3" max="4" width="11.66015625" style="70" customWidth="1"/>
    <col min="5" max="5" width="42" style="7" customWidth="1"/>
    <col min="6" max="6" width="16.16015625" style="7" customWidth="1"/>
    <col min="7" max="7" width="14.83203125" style="7" customWidth="1"/>
    <col min="8" max="8" width="15.33203125" style="7" customWidth="1"/>
    <col min="9" max="9" width="13" style="7" customWidth="1"/>
    <col min="10" max="11" width="12.66015625" style="7" customWidth="1"/>
    <col min="12" max="12" width="13.83203125" style="7" customWidth="1"/>
    <col min="13" max="16" width="12.66015625" style="7" customWidth="1"/>
    <col min="17" max="17" width="16.83203125" style="7" customWidth="1"/>
    <col min="18" max="18" width="9.16015625" style="6" customWidth="1"/>
    <col min="19" max="16384" width="9.16015625" style="6" customWidth="1"/>
  </cols>
  <sheetData>
    <row r="1" spans="1:17" s="26" customFormat="1" ht="18.75" customHeight="1">
      <c r="A1" s="25"/>
      <c r="B1" s="516"/>
      <c r="C1" s="516"/>
      <c r="D1" s="516"/>
      <c r="E1" s="516"/>
      <c r="F1" s="516"/>
      <c r="G1" s="516"/>
      <c r="H1" s="516"/>
      <c r="I1" s="516"/>
      <c r="J1" s="516"/>
      <c r="K1" s="516"/>
      <c r="L1" s="516"/>
      <c r="M1" s="516"/>
      <c r="N1" s="516"/>
      <c r="O1" s="516"/>
      <c r="P1" s="516"/>
      <c r="Q1" s="516"/>
    </row>
    <row r="2" spans="1:18" ht="66" customHeight="1">
      <c r="A2" s="3"/>
      <c r="E2" s="3"/>
      <c r="F2" s="2"/>
      <c r="G2" s="2"/>
      <c r="H2" s="2"/>
      <c r="I2" s="2"/>
      <c r="J2" s="2"/>
      <c r="K2" s="2"/>
      <c r="L2" s="2"/>
      <c r="M2" s="2"/>
      <c r="N2" s="529" t="s">
        <v>274</v>
      </c>
      <c r="O2" s="529"/>
      <c r="P2" s="529"/>
      <c r="Q2" s="529"/>
      <c r="R2" s="529"/>
    </row>
    <row r="3" spans="1:17" ht="45" customHeight="1">
      <c r="A3" s="3"/>
      <c r="B3" s="530" t="s">
        <v>179</v>
      </c>
      <c r="C3" s="531"/>
      <c r="D3" s="531"/>
      <c r="E3" s="531"/>
      <c r="F3" s="531"/>
      <c r="G3" s="531"/>
      <c r="H3" s="531"/>
      <c r="I3" s="531"/>
      <c r="J3" s="531"/>
      <c r="K3" s="531"/>
      <c r="L3" s="531"/>
      <c r="M3" s="531"/>
      <c r="N3" s="531"/>
      <c r="O3" s="531"/>
      <c r="P3" s="531"/>
      <c r="Q3" s="531"/>
    </row>
    <row r="4" spans="2:17" ht="18.75">
      <c r="B4" s="71"/>
      <c r="C4" s="72"/>
      <c r="D4" s="72"/>
      <c r="E4" s="8"/>
      <c r="F4" s="8"/>
      <c r="G4" s="8"/>
      <c r="H4" s="11"/>
      <c r="I4" s="8"/>
      <c r="J4" s="8"/>
      <c r="K4" s="9"/>
      <c r="L4" s="10"/>
      <c r="M4" s="10"/>
      <c r="N4" s="10"/>
      <c r="O4" s="10"/>
      <c r="P4" s="10"/>
      <c r="Q4" s="58" t="s">
        <v>94</v>
      </c>
    </row>
    <row r="5" spans="1:17" s="83" customFormat="1" ht="21.75" customHeight="1">
      <c r="A5" s="84"/>
      <c r="B5" s="535" t="s">
        <v>356</v>
      </c>
      <c r="C5" s="535" t="s">
        <v>278</v>
      </c>
      <c r="D5" s="518" t="s">
        <v>357</v>
      </c>
      <c r="E5" s="507" t="s">
        <v>280</v>
      </c>
      <c r="F5" s="533" t="s">
        <v>65</v>
      </c>
      <c r="G5" s="533"/>
      <c r="H5" s="533"/>
      <c r="I5" s="533"/>
      <c r="J5" s="533"/>
      <c r="K5" s="533" t="s">
        <v>66</v>
      </c>
      <c r="L5" s="533"/>
      <c r="M5" s="533"/>
      <c r="N5" s="533"/>
      <c r="O5" s="533"/>
      <c r="P5" s="533"/>
      <c r="Q5" s="533" t="s">
        <v>67</v>
      </c>
    </row>
    <row r="6" spans="1:17" s="83" customFormat="1" ht="16.5" customHeight="1">
      <c r="A6" s="85"/>
      <c r="B6" s="519"/>
      <c r="C6" s="519"/>
      <c r="D6" s="518"/>
      <c r="E6" s="532"/>
      <c r="F6" s="532" t="s">
        <v>68</v>
      </c>
      <c r="G6" s="517" t="s">
        <v>69</v>
      </c>
      <c r="H6" s="532" t="s">
        <v>70</v>
      </c>
      <c r="I6" s="532"/>
      <c r="J6" s="517" t="s">
        <v>71</v>
      </c>
      <c r="K6" s="532" t="s">
        <v>68</v>
      </c>
      <c r="L6" s="517" t="s">
        <v>69</v>
      </c>
      <c r="M6" s="532" t="s">
        <v>70</v>
      </c>
      <c r="N6" s="532"/>
      <c r="O6" s="517" t="s">
        <v>71</v>
      </c>
      <c r="P6" s="86" t="s">
        <v>70</v>
      </c>
      <c r="Q6" s="533"/>
    </row>
    <row r="7" spans="1:17" s="83" customFormat="1" ht="20.25" customHeight="1">
      <c r="A7" s="87"/>
      <c r="B7" s="519"/>
      <c r="C7" s="519"/>
      <c r="D7" s="518"/>
      <c r="E7" s="532"/>
      <c r="F7" s="532"/>
      <c r="G7" s="517"/>
      <c r="H7" s="532" t="s">
        <v>72</v>
      </c>
      <c r="I7" s="532" t="s">
        <v>73</v>
      </c>
      <c r="J7" s="517"/>
      <c r="K7" s="532"/>
      <c r="L7" s="517"/>
      <c r="M7" s="532" t="s">
        <v>72</v>
      </c>
      <c r="N7" s="532" t="s">
        <v>73</v>
      </c>
      <c r="O7" s="517"/>
      <c r="P7" s="507" t="s">
        <v>100</v>
      </c>
      <c r="Q7" s="533"/>
    </row>
    <row r="8" spans="1:17" s="83" customFormat="1" ht="45.75" customHeight="1">
      <c r="A8" s="88"/>
      <c r="B8" s="515"/>
      <c r="C8" s="515"/>
      <c r="D8" s="518"/>
      <c r="E8" s="532"/>
      <c r="F8" s="532"/>
      <c r="G8" s="517"/>
      <c r="H8" s="532"/>
      <c r="I8" s="532"/>
      <c r="J8" s="517"/>
      <c r="K8" s="532"/>
      <c r="L8" s="517"/>
      <c r="M8" s="532"/>
      <c r="N8" s="532"/>
      <c r="O8" s="517"/>
      <c r="P8" s="507"/>
      <c r="Q8" s="533"/>
    </row>
    <row r="9" spans="1:17" s="93" customFormat="1" ht="22.5" customHeight="1">
      <c r="A9" s="89"/>
      <c r="B9" s="90" t="s">
        <v>99</v>
      </c>
      <c r="C9" s="90"/>
      <c r="D9" s="90"/>
      <c r="E9" s="91" t="s">
        <v>523</v>
      </c>
      <c r="F9" s="92">
        <f>F10</f>
        <v>1728300</v>
      </c>
      <c r="G9" s="92">
        <f>G10</f>
        <v>1728300</v>
      </c>
      <c r="H9" s="92">
        <f>H11</f>
        <v>965385</v>
      </c>
      <c r="I9" s="92">
        <f>I11</f>
        <v>60970</v>
      </c>
      <c r="J9" s="92"/>
      <c r="K9" s="92"/>
      <c r="L9" s="92"/>
      <c r="M9" s="92"/>
      <c r="N9" s="92"/>
      <c r="O9" s="92"/>
      <c r="P9" s="92"/>
      <c r="Q9" s="92">
        <f>Q10</f>
        <v>1728300</v>
      </c>
    </row>
    <row r="10" spans="1:17" s="83" customFormat="1" ht="28.5">
      <c r="A10" s="82"/>
      <c r="B10" s="90" t="s">
        <v>74</v>
      </c>
      <c r="C10" s="90"/>
      <c r="D10" s="90"/>
      <c r="E10" s="91" t="s">
        <v>495</v>
      </c>
      <c r="F10" s="94">
        <f>F11+F12</f>
        <v>1728300</v>
      </c>
      <c r="G10" s="94">
        <f>G11+G12</f>
        <v>1728300</v>
      </c>
      <c r="H10" s="94">
        <f>H11+H12</f>
        <v>965385</v>
      </c>
      <c r="I10" s="94">
        <f>I11</f>
        <v>60970</v>
      </c>
      <c r="J10" s="94"/>
      <c r="K10" s="94"/>
      <c r="L10" s="94"/>
      <c r="M10" s="94"/>
      <c r="N10" s="94"/>
      <c r="O10" s="94"/>
      <c r="P10" s="94"/>
      <c r="Q10" s="94">
        <f>Q11+Q12</f>
        <v>1728300</v>
      </c>
    </row>
    <row r="11" spans="1:17" s="83" customFormat="1" ht="90">
      <c r="A11" s="82"/>
      <c r="B11" s="90" t="s">
        <v>111</v>
      </c>
      <c r="C11" s="95" t="s">
        <v>147</v>
      </c>
      <c r="D11" s="95" t="s">
        <v>75</v>
      </c>
      <c r="E11" s="96" t="s">
        <v>335</v>
      </c>
      <c r="F11" s="98">
        <f>G11</f>
        <v>1488300</v>
      </c>
      <c r="G11" s="98">
        <f>H11+I11+187562+121383+3000+150000</f>
        <v>1488300</v>
      </c>
      <c r="H11" s="98">
        <v>965385</v>
      </c>
      <c r="I11" s="98">
        <v>60970</v>
      </c>
      <c r="J11" s="98"/>
      <c r="K11" s="98"/>
      <c r="L11" s="98"/>
      <c r="M11" s="98"/>
      <c r="N11" s="98"/>
      <c r="O11" s="98"/>
      <c r="P11" s="98"/>
      <c r="Q11" s="98">
        <f>F11+K11</f>
        <v>1488300</v>
      </c>
    </row>
    <row r="12" spans="1:17" s="130" customFormat="1" ht="15">
      <c r="A12" s="101"/>
      <c r="B12" s="90" t="s">
        <v>263</v>
      </c>
      <c r="C12" s="99">
        <v>8600</v>
      </c>
      <c r="D12" s="95" t="s">
        <v>180</v>
      </c>
      <c r="E12" s="129" t="s">
        <v>181</v>
      </c>
      <c r="F12" s="98">
        <f>G12</f>
        <v>240000</v>
      </c>
      <c r="G12" s="98">
        <v>240000</v>
      </c>
      <c r="H12" s="98"/>
      <c r="I12" s="98"/>
      <c r="J12" s="98"/>
      <c r="K12" s="98"/>
      <c r="L12" s="98"/>
      <c r="M12" s="98"/>
      <c r="N12" s="98"/>
      <c r="O12" s="98"/>
      <c r="P12" s="98"/>
      <c r="Q12" s="98">
        <f>F12</f>
        <v>240000</v>
      </c>
    </row>
    <row r="13" spans="1:17" s="132" customFormat="1" ht="28.5">
      <c r="A13" s="131"/>
      <c r="B13" s="90" t="s">
        <v>358</v>
      </c>
      <c r="C13" s="97"/>
      <c r="D13" s="90"/>
      <c r="E13" s="91" t="s">
        <v>182</v>
      </c>
      <c r="F13" s="94">
        <f>F14</f>
        <v>1345325</v>
      </c>
      <c r="G13" s="94">
        <f>G14</f>
        <v>1345325</v>
      </c>
      <c r="H13" s="94">
        <f>H14</f>
        <v>550600</v>
      </c>
      <c r="I13" s="94">
        <f>I14</f>
        <v>4400</v>
      </c>
      <c r="J13" s="94"/>
      <c r="K13" s="94">
        <f>K15+K20</f>
        <v>1373833</v>
      </c>
      <c r="L13" s="94"/>
      <c r="M13" s="94"/>
      <c r="N13" s="94"/>
      <c r="O13" s="94">
        <f>O15+O20</f>
        <v>1373833</v>
      </c>
      <c r="P13" s="94">
        <f>95900+1277933</f>
        <v>1373833</v>
      </c>
      <c r="Q13" s="94">
        <f>Q14</f>
        <v>2719158</v>
      </c>
    </row>
    <row r="14" spans="1:17" s="132" customFormat="1" ht="28.5">
      <c r="A14" s="131"/>
      <c r="B14" s="90" t="s">
        <v>359</v>
      </c>
      <c r="C14" s="97"/>
      <c r="D14" s="90"/>
      <c r="E14" s="91" t="s">
        <v>182</v>
      </c>
      <c r="F14" s="94">
        <f>F15+F17+F19+F22+F23+F24</f>
        <v>1345325</v>
      </c>
      <c r="G14" s="94">
        <f>G15+G17+G19+G22+G23+G24</f>
        <v>1345325</v>
      </c>
      <c r="H14" s="94">
        <f>H17</f>
        <v>550600</v>
      </c>
      <c r="I14" s="94">
        <f>I17</f>
        <v>4400</v>
      </c>
      <c r="J14" s="94"/>
      <c r="K14" s="94">
        <f>K15+K20</f>
        <v>1373833</v>
      </c>
      <c r="L14" s="94"/>
      <c r="M14" s="94"/>
      <c r="N14" s="94"/>
      <c r="O14" s="94">
        <f>O15+O20</f>
        <v>1373833</v>
      </c>
      <c r="P14" s="94">
        <f>95900+1277933</f>
        <v>1373833</v>
      </c>
      <c r="Q14" s="94">
        <f>Q15+Q17+Q19+Q22+Q23+Q20+Q24</f>
        <v>2719158</v>
      </c>
    </row>
    <row r="15" spans="1:17" s="130" customFormat="1" ht="15">
      <c r="A15" s="101"/>
      <c r="B15" s="90" t="s">
        <v>360</v>
      </c>
      <c r="C15" s="99">
        <v>8600</v>
      </c>
      <c r="D15" s="95" t="s">
        <v>180</v>
      </c>
      <c r="E15" s="129" t="s">
        <v>181</v>
      </c>
      <c r="F15" s="98">
        <f>G15</f>
        <v>262325</v>
      </c>
      <c r="G15" s="98">
        <f>160000+17170+17000+50000-10845+29000</f>
        <v>262325</v>
      </c>
      <c r="H15" s="98"/>
      <c r="I15" s="98"/>
      <c r="J15" s="98"/>
      <c r="K15" s="98">
        <v>95900</v>
      </c>
      <c r="L15" s="98"/>
      <c r="M15" s="98"/>
      <c r="N15" s="98"/>
      <c r="O15" s="98">
        <v>95900</v>
      </c>
      <c r="P15" s="98">
        <v>95900</v>
      </c>
      <c r="Q15" s="98">
        <f>F15+K15</f>
        <v>358225</v>
      </c>
    </row>
    <row r="16" spans="1:17" s="130" customFormat="1" ht="30">
      <c r="A16" s="101"/>
      <c r="B16" s="90" t="s">
        <v>261</v>
      </c>
      <c r="C16" s="99">
        <v>5030</v>
      </c>
      <c r="D16" s="95"/>
      <c r="E16" s="129" t="s">
        <v>10</v>
      </c>
      <c r="F16" s="98">
        <f>F17</f>
        <v>712200</v>
      </c>
      <c r="G16" s="98">
        <f>G17</f>
        <v>712200</v>
      </c>
      <c r="H16" s="98">
        <f>H17</f>
        <v>550600</v>
      </c>
      <c r="I16" s="98">
        <f>I17</f>
        <v>4400</v>
      </c>
      <c r="J16" s="98"/>
      <c r="K16" s="98"/>
      <c r="L16" s="98"/>
      <c r="M16" s="98"/>
      <c r="N16" s="98"/>
      <c r="O16" s="98"/>
      <c r="P16" s="98"/>
      <c r="Q16" s="98">
        <f>Q17</f>
        <v>712200</v>
      </c>
    </row>
    <row r="17" spans="1:17" s="130" customFormat="1" ht="45">
      <c r="A17" s="101"/>
      <c r="B17" s="90" t="s">
        <v>11</v>
      </c>
      <c r="C17" s="99">
        <v>5031</v>
      </c>
      <c r="D17" s="95" t="s">
        <v>183</v>
      </c>
      <c r="E17" s="129" t="s">
        <v>185</v>
      </c>
      <c r="F17" s="98">
        <f>G17</f>
        <v>712200</v>
      </c>
      <c r="G17" s="98">
        <f>H17+I17+93600+29100+27500+7000</f>
        <v>712200</v>
      </c>
      <c r="H17" s="98">
        <f>425600+125000</f>
        <v>550600</v>
      </c>
      <c r="I17" s="98">
        <v>4400</v>
      </c>
      <c r="J17" s="98"/>
      <c r="K17" s="98"/>
      <c r="L17" s="98"/>
      <c r="M17" s="98"/>
      <c r="N17" s="98"/>
      <c r="O17" s="98"/>
      <c r="P17" s="98"/>
      <c r="Q17" s="98">
        <f>F17</f>
        <v>712200</v>
      </c>
    </row>
    <row r="18" spans="1:17" s="130" customFormat="1" ht="30">
      <c r="A18" s="101"/>
      <c r="B18" s="90" t="s">
        <v>262</v>
      </c>
      <c r="C18" s="99">
        <v>5050</v>
      </c>
      <c r="D18" s="95"/>
      <c r="E18" s="129" t="s">
        <v>12</v>
      </c>
      <c r="F18" s="98">
        <f>F19</f>
        <v>95800</v>
      </c>
      <c r="G18" s="98">
        <f>G19</f>
        <v>95800</v>
      </c>
      <c r="H18" s="98"/>
      <c r="I18" s="98"/>
      <c r="J18" s="98"/>
      <c r="K18" s="98"/>
      <c r="L18" s="98"/>
      <c r="M18" s="98"/>
      <c r="N18" s="98"/>
      <c r="O18" s="98"/>
      <c r="P18" s="98"/>
      <c r="Q18" s="98">
        <f>Q19</f>
        <v>95800</v>
      </c>
    </row>
    <row r="19" spans="1:17" s="130" customFormat="1" ht="64.5" customHeight="1">
      <c r="A19" s="101"/>
      <c r="B19" s="90" t="s">
        <v>13</v>
      </c>
      <c r="C19" s="99">
        <v>5053</v>
      </c>
      <c r="D19" s="95" t="s">
        <v>183</v>
      </c>
      <c r="E19" s="129" t="s">
        <v>257</v>
      </c>
      <c r="F19" s="98">
        <f>G19</f>
        <v>95800</v>
      </c>
      <c r="G19" s="98">
        <f>45200+50600</f>
        <v>95800</v>
      </c>
      <c r="H19" s="98"/>
      <c r="I19" s="98"/>
      <c r="J19" s="98"/>
      <c r="K19" s="98"/>
      <c r="L19" s="98"/>
      <c r="M19" s="98"/>
      <c r="N19" s="98"/>
      <c r="O19" s="98"/>
      <c r="P19" s="98"/>
      <c r="Q19" s="98">
        <f>F19</f>
        <v>95800</v>
      </c>
    </row>
    <row r="20" spans="1:17" s="130" customFormat="1" ht="35.25" customHeight="1">
      <c r="A20" s="101"/>
      <c r="B20" s="90" t="s">
        <v>246</v>
      </c>
      <c r="C20" s="99">
        <v>6310</v>
      </c>
      <c r="D20" s="95" t="s">
        <v>247</v>
      </c>
      <c r="E20" s="129" t="s">
        <v>250</v>
      </c>
      <c r="F20" s="98"/>
      <c r="G20" s="98"/>
      <c r="H20" s="98"/>
      <c r="I20" s="98"/>
      <c r="J20" s="98"/>
      <c r="K20" s="98">
        <f>O20</f>
        <v>1277933</v>
      </c>
      <c r="L20" s="98"/>
      <c r="M20" s="98"/>
      <c r="N20" s="98"/>
      <c r="O20" s="98">
        <v>1277933</v>
      </c>
      <c r="P20" s="98">
        <v>1277933</v>
      </c>
      <c r="Q20" s="98">
        <f>K20</f>
        <v>1277933</v>
      </c>
    </row>
    <row r="21" spans="1:17" s="130" customFormat="1" ht="30" customHeight="1">
      <c r="A21" s="101"/>
      <c r="B21" s="90" t="s">
        <v>504</v>
      </c>
      <c r="C21" s="99">
        <v>7210</v>
      </c>
      <c r="D21" s="95"/>
      <c r="E21" s="129" t="s">
        <v>505</v>
      </c>
      <c r="F21" s="98">
        <f>F22</f>
        <v>250000</v>
      </c>
      <c r="G21" s="98">
        <f>G22</f>
        <v>250000</v>
      </c>
      <c r="H21" s="98"/>
      <c r="I21" s="98"/>
      <c r="J21" s="98"/>
      <c r="K21" s="98"/>
      <c r="L21" s="98"/>
      <c r="M21" s="98"/>
      <c r="N21" s="98"/>
      <c r="O21" s="98"/>
      <c r="P21" s="98"/>
      <c r="Q21" s="98">
        <f>Q22</f>
        <v>250000</v>
      </c>
    </row>
    <row r="22" spans="1:17" s="130" customFormat="1" ht="30">
      <c r="A22" s="101"/>
      <c r="B22" s="90" t="s">
        <v>522</v>
      </c>
      <c r="C22" s="99">
        <v>7212</v>
      </c>
      <c r="D22" s="95" t="s">
        <v>337</v>
      </c>
      <c r="E22" s="129" t="s">
        <v>506</v>
      </c>
      <c r="F22" s="98">
        <v>250000</v>
      </c>
      <c r="G22" s="98">
        <f>300000-50000</f>
        <v>250000</v>
      </c>
      <c r="H22" s="98"/>
      <c r="I22" s="98"/>
      <c r="J22" s="98"/>
      <c r="K22" s="98"/>
      <c r="L22" s="98"/>
      <c r="M22" s="98"/>
      <c r="N22" s="98"/>
      <c r="O22" s="98"/>
      <c r="P22" s="98"/>
      <c r="Q22" s="98">
        <v>250000</v>
      </c>
    </row>
    <row r="23" spans="1:17" s="130" customFormat="1" ht="30" hidden="1">
      <c r="A23" s="101"/>
      <c r="B23" s="99"/>
      <c r="C23" s="99">
        <v>6650</v>
      </c>
      <c r="D23" s="95" t="s">
        <v>338</v>
      </c>
      <c r="E23" s="129" t="s">
        <v>339</v>
      </c>
      <c r="F23" s="98">
        <v>0</v>
      </c>
      <c r="G23" s="98">
        <v>0</v>
      </c>
      <c r="H23" s="98"/>
      <c r="I23" s="98"/>
      <c r="J23" s="98"/>
      <c r="K23" s="98"/>
      <c r="L23" s="98"/>
      <c r="M23" s="98"/>
      <c r="N23" s="98"/>
      <c r="O23" s="98"/>
      <c r="P23" s="98"/>
      <c r="Q23" s="98">
        <v>0</v>
      </c>
    </row>
    <row r="24" spans="1:17" s="130" customFormat="1" ht="45">
      <c r="A24" s="101"/>
      <c r="B24" s="90" t="s">
        <v>252</v>
      </c>
      <c r="C24" s="99">
        <v>7810</v>
      </c>
      <c r="D24" s="95" t="s">
        <v>251</v>
      </c>
      <c r="E24" s="129" t="s">
        <v>253</v>
      </c>
      <c r="F24" s="98">
        <f>G24</f>
        <v>25000</v>
      </c>
      <c r="G24" s="98">
        <v>25000</v>
      </c>
      <c r="H24" s="98"/>
      <c r="I24" s="98"/>
      <c r="J24" s="98"/>
      <c r="K24" s="98"/>
      <c r="L24" s="98"/>
      <c r="M24" s="98"/>
      <c r="N24" s="98"/>
      <c r="O24" s="98"/>
      <c r="P24" s="98"/>
      <c r="Q24" s="98">
        <f>F24</f>
        <v>25000</v>
      </c>
    </row>
    <row r="25" spans="1:17" s="132" customFormat="1" ht="42.75">
      <c r="A25" s="131"/>
      <c r="B25" s="97">
        <v>1000000</v>
      </c>
      <c r="C25" s="97"/>
      <c r="D25" s="90"/>
      <c r="E25" s="100" t="s">
        <v>524</v>
      </c>
      <c r="F25" s="94">
        <f>F26</f>
        <v>109522594.28999999</v>
      </c>
      <c r="G25" s="94">
        <f>G26</f>
        <v>109522594.28999999</v>
      </c>
      <c r="H25" s="94">
        <f>H26</f>
        <v>80139222.94000001</v>
      </c>
      <c r="I25" s="94">
        <f>I26</f>
        <v>6702353.909999999</v>
      </c>
      <c r="J25" s="94"/>
      <c r="K25" s="94">
        <f aca="true" t="shared" si="0" ref="K25:Q25">K26</f>
        <v>5159700</v>
      </c>
      <c r="L25" s="94">
        <f t="shared" si="0"/>
        <v>675600</v>
      </c>
      <c r="M25" s="94">
        <f t="shared" si="0"/>
        <v>305000</v>
      </c>
      <c r="N25" s="94">
        <f t="shared" si="0"/>
        <v>30000</v>
      </c>
      <c r="O25" s="94">
        <f t="shared" si="0"/>
        <v>4484100</v>
      </c>
      <c r="P25" s="94">
        <f t="shared" si="0"/>
        <v>4484100</v>
      </c>
      <c r="Q25" s="94">
        <f t="shared" si="0"/>
        <v>114682294.28999999</v>
      </c>
    </row>
    <row r="26" spans="1:17" s="132" customFormat="1" ht="42.75">
      <c r="A26" s="131"/>
      <c r="B26" s="97">
        <v>1010000</v>
      </c>
      <c r="C26" s="97"/>
      <c r="D26" s="90"/>
      <c r="E26" s="100" t="s">
        <v>525</v>
      </c>
      <c r="F26" s="94">
        <f>F27+F28+F30+F31+F32+F33+F34+F29</f>
        <v>109522594.28999999</v>
      </c>
      <c r="G26" s="94">
        <f>G27+G28+G30+G31+G32+G33+G34+G29</f>
        <v>109522594.28999999</v>
      </c>
      <c r="H26" s="94">
        <f>H27+H28+H30+H31+H32+H33</f>
        <v>80139222.94000001</v>
      </c>
      <c r="I26" s="94">
        <f>I27+I28+I30+I31+I32+I33</f>
        <v>6702353.909999999</v>
      </c>
      <c r="J26" s="94"/>
      <c r="K26" s="94">
        <f>K27+K33+K35</f>
        <v>5159700</v>
      </c>
      <c r="L26" s="94">
        <f>L27+L33</f>
        <v>675600</v>
      </c>
      <c r="M26" s="94">
        <f>M33</f>
        <v>305000</v>
      </c>
      <c r="N26" s="94">
        <f>N33</f>
        <v>30000</v>
      </c>
      <c r="O26" s="94">
        <f>O27+O35</f>
        <v>4484100</v>
      </c>
      <c r="P26" s="94">
        <f>P27+P35</f>
        <v>4484100</v>
      </c>
      <c r="Q26" s="94">
        <f>Q27+Q28+Q30+Q31+Q32+Q33+Q34+Q29+Q35</f>
        <v>114682294.28999999</v>
      </c>
    </row>
    <row r="27" spans="1:17" s="83" customFormat="1" ht="90">
      <c r="A27" s="82"/>
      <c r="B27" s="97">
        <v>1011020</v>
      </c>
      <c r="C27" s="99">
        <v>1020</v>
      </c>
      <c r="D27" s="95" t="s">
        <v>186</v>
      </c>
      <c r="E27" s="96" t="s">
        <v>258</v>
      </c>
      <c r="F27" s="98">
        <f aca="true" t="shared" si="1" ref="F27:F34">G27</f>
        <v>104459633.71</v>
      </c>
      <c r="G27" s="98">
        <f>H27+I27+14398820+2257130+100000+250000+321300+250000+160000+5008825+62000+6000+10000+8000+95000+25000+5000+16000+25000+20000+17000+766420+122200+10000+100000+250000+199100+10000+15000+10000+125365-199100-702164.51-238255-19073.52-329742.39-6045-158180.84-80288-1464-928941.59-217432.94-3725-7981.3-17073.09-83175.59-53798.36-20756.67-873-9026.21-35429.12-278695-7.01-1200-3000</f>
        <v>104459633.71</v>
      </c>
      <c r="H27" s="98">
        <f>65540000+20346165+157220-3130048.16-1077945-66871.69-4199286.46-956577.56-148.19</f>
        <v>76612507.94000001</v>
      </c>
      <c r="I27" s="98">
        <f>5463950+300000+1188201-74923.4-4.79-277828.9</f>
        <v>6599393.909999999</v>
      </c>
      <c r="J27" s="98"/>
      <c r="K27" s="98">
        <f>L27+O27</f>
        <v>4374100</v>
      </c>
      <c r="L27" s="98">
        <v>90000</v>
      </c>
      <c r="M27" s="98"/>
      <c r="N27" s="98"/>
      <c r="O27" s="98">
        <f>20000+500000+45000+20000+199100+3500000</f>
        <v>4284100</v>
      </c>
      <c r="P27" s="98">
        <f>20000+500000+45000+20000+199100+3500000</f>
        <v>4284100</v>
      </c>
      <c r="Q27" s="98">
        <f>F27+K27</f>
        <v>108833733.71</v>
      </c>
    </row>
    <row r="28" spans="1:17" s="83" customFormat="1" ht="60">
      <c r="A28" s="82"/>
      <c r="B28" s="97">
        <v>1011090</v>
      </c>
      <c r="C28" s="99">
        <v>1090</v>
      </c>
      <c r="D28" s="95" t="s">
        <v>187</v>
      </c>
      <c r="E28" s="96" t="s">
        <v>188</v>
      </c>
      <c r="F28" s="98">
        <f t="shared" si="1"/>
        <v>1366203.85</v>
      </c>
      <c r="G28" s="98">
        <f>H28+I28+133415+214485+60000+67180+8355+37000+50000-5570-916.15-4655-18250</f>
        <v>1366203.85</v>
      </c>
      <c r="H28" s="98">
        <f>606890+101820+160000-25410-21250</f>
        <v>822050</v>
      </c>
      <c r="I28" s="98">
        <v>3110</v>
      </c>
      <c r="J28" s="98"/>
      <c r="K28" s="98"/>
      <c r="L28" s="98"/>
      <c r="M28" s="98"/>
      <c r="N28" s="98"/>
      <c r="O28" s="98"/>
      <c r="P28" s="98"/>
      <c r="Q28" s="98">
        <f aca="true" t="shared" si="2" ref="Q28:Q34">F28</f>
        <v>1366203.85</v>
      </c>
    </row>
    <row r="29" spans="1:17" s="83" customFormat="1" ht="45">
      <c r="A29" s="82"/>
      <c r="B29" s="97">
        <v>1011150</v>
      </c>
      <c r="C29" s="99">
        <v>1150</v>
      </c>
      <c r="D29" s="95" t="s">
        <v>241</v>
      </c>
      <c r="E29" s="96" t="s">
        <v>242</v>
      </c>
      <c r="F29" s="98">
        <f>G29</f>
        <v>5115.45</v>
      </c>
      <c r="G29" s="98">
        <f>5930-814.55</f>
        <v>5115.45</v>
      </c>
      <c r="H29" s="98"/>
      <c r="I29" s="98"/>
      <c r="J29" s="98"/>
      <c r="K29" s="98"/>
      <c r="L29" s="98"/>
      <c r="M29" s="98"/>
      <c r="N29" s="98"/>
      <c r="O29" s="98"/>
      <c r="P29" s="98"/>
      <c r="Q29" s="98">
        <f>F29</f>
        <v>5115.45</v>
      </c>
    </row>
    <row r="30" spans="1:17" s="83" customFormat="1" ht="45">
      <c r="A30" s="82"/>
      <c r="B30" s="97">
        <v>1011170</v>
      </c>
      <c r="C30" s="99">
        <v>1170</v>
      </c>
      <c r="D30" s="95" t="s">
        <v>189</v>
      </c>
      <c r="E30" s="96" t="s">
        <v>190</v>
      </c>
      <c r="F30" s="98">
        <f t="shared" si="1"/>
        <v>905852.24</v>
      </c>
      <c r="G30" s="98">
        <f>H30+I30+135020+27450+9840+13000-3300-187.76</f>
        <v>905852.24</v>
      </c>
      <c r="H30" s="98">
        <f>613730+40160+58900-15060</f>
        <v>697730</v>
      </c>
      <c r="I30" s="98">
        <v>26300</v>
      </c>
      <c r="J30" s="98"/>
      <c r="K30" s="98"/>
      <c r="L30" s="98"/>
      <c r="M30" s="98"/>
      <c r="N30" s="98"/>
      <c r="O30" s="98"/>
      <c r="P30" s="98"/>
      <c r="Q30" s="98">
        <f t="shared" si="2"/>
        <v>905852.24</v>
      </c>
    </row>
    <row r="31" spans="1:17" s="83" customFormat="1" ht="30">
      <c r="A31" s="82"/>
      <c r="B31" s="97">
        <v>1011190</v>
      </c>
      <c r="C31" s="99">
        <v>1190</v>
      </c>
      <c r="D31" s="95" t="s">
        <v>189</v>
      </c>
      <c r="E31" s="96" t="s">
        <v>191</v>
      </c>
      <c r="F31" s="98">
        <f t="shared" si="1"/>
        <v>1270855.28</v>
      </c>
      <c r="G31" s="98">
        <f>H31+I31+165270+49960+69600+24200-7950-2862.01-2737.49-1000-8590-5863-7422.22-3000</f>
        <v>1270855.28</v>
      </c>
      <c r="H31" s="98">
        <f>751210+170900+109900-36470-39150</f>
        <v>956390</v>
      </c>
      <c r="I31" s="98">
        <v>44860</v>
      </c>
      <c r="J31" s="98"/>
      <c r="K31" s="98"/>
      <c r="L31" s="98"/>
      <c r="M31" s="98"/>
      <c r="N31" s="98"/>
      <c r="O31" s="98"/>
      <c r="P31" s="98"/>
      <c r="Q31" s="98">
        <f t="shared" si="2"/>
        <v>1270855.28</v>
      </c>
    </row>
    <row r="32" spans="1:17" s="83" customFormat="1" ht="30">
      <c r="A32" s="82"/>
      <c r="B32" s="97">
        <v>1011200</v>
      </c>
      <c r="C32" s="99">
        <v>1200</v>
      </c>
      <c r="D32" s="95" t="s">
        <v>189</v>
      </c>
      <c r="E32" s="96" t="s">
        <v>192</v>
      </c>
      <c r="F32" s="98">
        <f t="shared" si="1"/>
        <v>543253.76</v>
      </c>
      <c r="G32" s="98">
        <f>H32+I32+57980+65910+34800+19000-1835-6341.24-750-3770-1950</f>
        <v>543253.76</v>
      </c>
      <c r="H32" s="98">
        <f>263520+25400+86000-8400</f>
        <v>366520</v>
      </c>
      <c r="I32" s="98">
        <v>13690</v>
      </c>
      <c r="J32" s="98"/>
      <c r="K32" s="98"/>
      <c r="L32" s="98"/>
      <c r="M32" s="98"/>
      <c r="N32" s="98"/>
      <c r="O32" s="98"/>
      <c r="P32" s="98"/>
      <c r="Q32" s="98">
        <f t="shared" si="2"/>
        <v>543253.76</v>
      </c>
    </row>
    <row r="33" spans="1:17" s="83" customFormat="1" ht="15">
      <c r="A33" s="82"/>
      <c r="B33" s="97">
        <v>1011210</v>
      </c>
      <c r="C33" s="99">
        <v>1210</v>
      </c>
      <c r="D33" s="95" t="s">
        <v>189</v>
      </c>
      <c r="E33" s="96" t="s">
        <v>194</v>
      </c>
      <c r="F33" s="98">
        <f t="shared" si="1"/>
        <v>933580</v>
      </c>
      <c r="G33" s="98">
        <f>H33+I33+97375+45000+62280+33400+15000-12500-6000</f>
        <v>933580</v>
      </c>
      <c r="H33" s="98">
        <f>442625+146720+151600-56920</f>
        <v>684025</v>
      </c>
      <c r="I33" s="98">
        <v>15000</v>
      </c>
      <c r="J33" s="98"/>
      <c r="K33" s="98">
        <f>L33</f>
        <v>585600</v>
      </c>
      <c r="L33" s="98">
        <f>M33+N33+67100+183500</f>
        <v>585600</v>
      </c>
      <c r="M33" s="98">
        <v>305000</v>
      </c>
      <c r="N33" s="98">
        <v>30000</v>
      </c>
      <c r="O33" s="98"/>
      <c r="P33" s="98"/>
      <c r="Q33" s="98">
        <f>F33+K33</f>
        <v>1519180</v>
      </c>
    </row>
    <row r="34" spans="1:17" s="83" customFormat="1" ht="60">
      <c r="A34" s="82"/>
      <c r="B34" s="97">
        <v>1011230</v>
      </c>
      <c r="C34" s="99">
        <v>1230</v>
      </c>
      <c r="D34" s="95" t="s">
        <v>189</v>
      </c>
      <c r="E34" s="96" t="s">
        <v>195</v>
      </c>
      <c r="F34" s="98">
        <f t="shared" si="1"/>
        <v>38100</v>
      </c>
      <c r="G34" s="98">
        <v>38100</v>
      </c>
      <c r="H34" s="98"/>
      <c r="I34" s="98"/>
      <c r="J34" s="98"/>
      <c r="K34" s="98"/>
      <c r="L34" s="98"/>
      <c r="M34" s="98"/>
      <c r="N34" s="98"/>
      <c r="O34" s="98"/>
      <c r="P34" s="98"/>
      <c r="Q34" s="98">
        <f t="shared" si="2"/>
        <v>38100</v>
      </c>
    </row>
    <row r="35" spans="1:17" s="83" customFormat="1" ht="60">
      <c r="A35" s="82"/>
      <c r="B35" s="97">
        <v>1016330</v>
      </c>
      <c r="C35" s="99">
        <v>6330</v>
      </c>
      <c r="D35" s="95" t="s">
        <v>186</v>
      </c>
      <c r="E35" s="96" t="s">
        <v>138</v>
      </c>
      <c r="F35" s="98"/>
      <c r="G35" s="98"/>
      <c r="H35" s="98"/>
      <c r="I35" s="98"/>
      <c r="J35" s="98"/>
      <c r="K35" s="98">
        <f>O35</f>
        <v>200000</v>
      </c>
      <c r="L35" s="98"/>
      <c r="M35" s="98"/>
      <c r="N35" s="98"/>
      <c r="O35" s="98">
        <f>P35</f>
        <v>200000</v>
      </c>
      <c r="P35" s="98">
        <v>200000</v>
      </c>
      <c r="Q35" s="98">
        <f>K35</f>
        <v>200000</v>
      </c>
    </row>
    <row r="36" spans="1:17" s="132" customFormat="1" ht="42.75">
      <c r="A36" s="131"/>
      <c r="B36" s="97">
        <v>1100000</v>
      </c>
      <c r="C36" s="97"/>
      <c r="D36" s="90"/>
      <c r="E36" s="100" t="s">
        <v>196</v>
      </c>
      <c r="F36" s="94">
        <f>F37</f>
        <v>1391300</v>
      </c>
      <c r="G36" s="94">
        <f>G37</f>
        <v>1391300</v>
      </c>
      <c r="H36" s="94">
        <f>H37</f>
        <v>367094</v>
      </c>
      <c r="I36" s="94">
        <f>I37</f>
        <v>22900</v>
      </c>
      <c r="J36" s="94"/>
      <c r="K36" s="94"/>
      <c r="L36" s="94"/>
      <c r="M36" s="94"/>
      <c r="N36" s="94"/>
      <c r="O36" s="94"/>
      <c r="P36" s="94"/>
      <c r="Q36" s="94">
        <f>F36</f>
        <v>1391300</v>
      </c>
    </row>
    <row r="37" spans="1:17" s="132" customFormat="1" ht="42.75">
      <c r="A37" s="131"/>
      <c r="B37" s="97">
        <v>1110000</v>
      </c>
      <c r="C37" s="97"/>
      <c r="D37" s="90"/>
      <c r="E37" s="100" t="s">
        <v>196</v>
      </c>
      <c r="F37" s="94">
        <f>F39+F40+F44+F47+F50+F48+F41+F42+F51+F52+F45</f>
        <v>1391300</v>
      </c>
      <c r="G37" s="94">
        <f>G39+G40+G44+G47+G50+G48+G42+G41+G51+G52+G45</f>
        <v>1391300</v>
      </c>
      <c r="H37" s="94">
        <f>H39</f>
        <v>367094</v>
      </c>
      <c r="I37" s="94">
        <f>I39</f>
        <v>22900</v>
      </c>
      <c r="J37" s="94"/>
      <c r="K37" s="94"/>
      <c r="L37" s="94"/>
      <c r="M37" s="94"/>
      <c r="N37" s="94"/>
      <c r="O37" s="94"/>
      <c r="P37" s="94"/>
      <c r="Q37" s="94">
        <f>Q39+Q40+Q44+Q47+Q50+Q48+Q41+Q42+Q51+Q52+Q45</f>
        <v>1391300</v>
      </c>
    </row>
    <row r="38" spans="1:17" s="132" customFormat="1" ht="30">
      <c r="A38" s="131"/>
      <c r="B38" s="97">
        <v>1113130</v>
      </c>
      <c r="C38" s="99">
        <v>3130</v>
      </c>
      <c r="D38" s="95"/>
      <c r="E38" s="96" t="s">
        <v>14</v>
      </c>
      <c r="F38" s="94">
        <f>F39+F40+F41+F42</f>
        <v>536300</v>
      </c>
      <c r="G38" s="94">
        <f>G39+G40+G41+G42</f>
        <v>536300</v>
      </c>
      <c r="H38" s="94">
        <f>H39+H40</f>
        <v>367094</v>
      </c>
      <c r="I38" s="94">
        <f>I39+I40</f>
        <v>22900</v>
      </c>
      <c r="J38" s="94"/>
      <c r="K38" s="94"/>
      <c r="L38" s="94"/>
      <c r="M38" s="94"/>
      <c r="N38" s="94"/>
      <c r="O38" s="94"/>
      <c r="P38" s="94"/>
      <c r="Q38" s="94">
        <f>Q39+Q40+Q41+Q42</f>
        <v>536300</v>
      </c>
    </row>
    <row r="39" spans="1:17" s="83" customFormat="1" ht="30">
      <c r="A39" s="82"/>
      <c r="B39" s="97">
        <v>1113131</v>
      </c>
      <c r="C39" s="99">
        <v>3131</v>
      </c>
      <c r="D39" s="95" t="s">
        <v>197</v>
      </c>
      <c r="E39" s="96" t="s">
        <v>198</v>
      </c>
      <c r="F39" s="98">
        <f aca="true" t="shared" si="3" ref="F39:F50">G39</f>
        <v>507600</v>
      </c>
      <c r="G39" s="98">
        <f>H39+I39+80760+36800+46</f>
        <v>507600</v>
      </c>
      <c r="H39" s="98">
        <v>367094</v>
      </c>
      <c r="I39" s="98">
        <v>22900</v>
      </c>
      <c r="J39" s="98"/>
      <c r="K39" s="98"/>
      <c r="L39" s="98"/>
      <c r="M39" s="98"/>
      <c r="N39" s="98"/>
      <c r="O39" s="98"/>
      <c r="P39" s="98"/>
      <c r="Q39" s="98">
        <f>F39</f>
        <v>507600</v>
      </c>
    </row>
    <row r="40" spans="1:17" s="83" customFormat="1" ht="30">
      <c r="A40" s="82"/>
      <c r="B40" s="97">
        <v>1113132</v>
      </c>
      <c r="C40" s="99">
        <v>3132</v>
      </c>
      <c r="D40" s="95" t="s">
        <v>197</v>
      </c>
      <c r="E40" s="96" t="s">
        <v>199</v>
      </c>
      <c r="F40" s="98">
        <f t="shared" si="3"/>
        <v>20000</v>
      </c>
      <c r="G40" s="98">
        <v>20000</v>
      </c>
      <c r="H40" s="98"/>
      <c r="I40" s="98"/>
      <c r="J40" s="98"/>
      <c r="K40" s="98"/>
      <c r="L40" s="98"/>
      <c r="M40" s="98"/>
      <c r="N40" s="98"/>
      <c r="O40" s="98"/>
      <c r="P40" s="98"/>
      <c r="Q40" s="98">
        <f>F40</f>
        <v>20000</v>
      </c>
    </row>
    <row r="41" spans="1:17" s="83" customFormat="1" ht="45">
      <c r="A41" s="82"/>
      <c r="B41" s="97">
        <v>1113133</v>
      </c>
      <c r="C41" s="99">
        <v>3133</v>
      </c>
      <c r="D41" s="95" t="s">
        <v>197</v>
      </c>
      <c r="E41" s="96" t="s">
        <v>528</v>
      </c>
      <c r="F41" s="98">
        <v>5000</v>
      </c>
      <c r="G41" s="98">
        <v>5000</v>
      </c>
      <c r="H41" s="98"/>
      <c r="I41" s="98"/>
      <c r="J41" s="98"/>
      <c r="K41" s="98"/>
      <c r="L41" s="98"/>
      <c r="M41" s="98"/>
      <c r="N41" s="98"/>
      <c r="O41" s="98"/>
      <c r="P41" s="98"/>
      <c r="Q41" s="98">
        <v>5000</v>
      </c>
    </row>
    <row r="42" spans="1:17" s="83" customFormat="1" ht="30">
      <c r="A42" s="82"/>
      <c r="B42" s="97">
        <v>1113134</v>
      </c>
      <c r="C42" s="99">
        <v>3134</v>
      </c>
      <c r="D42" s="95" t="s">
        <v>197</v>
      </c>
      <c r="E42" s="96" t="s">
        <v>529</v>
      </c>
      <c r="F42" s="98">
        <v>3700</v>
      </c>
      <c r="G42" s="98">
        <v>3700</v>
      </c>
      <c r="H42" s="98"/>
      <c r="I42" s="98"/>
      <c r="J42" s="98"/>
      <c r="K42" s="98"/>
      <c r="L42" s="98"/>
      <c r="M42" s="98"/>
      <c r="N42" s="98"/>
      <c r="O42" s="98"/>
      <c r="P42" s="98"/>
      <c r="Q42" s="98">
        <v>3700</v>
      </c>
    </row>
    <row r="43" spans="1:17" s="83" customFormat="1" ht="30">
      <c r="A43" s="82"/>
      <c r="B43" s="97">
        <v>1113140</v>
      </c>
      <c r="C43" s="99">
        <v>3140</v>
      </c>
      <c r="D43" s="95"/>
      <c r="E43" s="96" t="s">
        <v>259</v>
      </c>
      <c r="F43" s="98">
        <f>F44</f>
        <v>21300</v>
      </c>
      <c r="G43" s="98">
        <f>G44</f>
        <v>21300</v>
      </c>
      <c r="H43" s="98"/>
      <c r="I43" s="98"/>
      <c r="J43" s="98"/>
      <c r="K43" s="98"/>
      <c r="L43" s="98"/>
      <c r="M43" s="98"/>
      <c r="N43" s="98"/>
      <c r="O43" s="98"/>
      <c r="P43" s="98"/>
      <c r="Q43" s="98">
        <f>Q44</f>
        <v>21300</v>
      </c>
    </row>
    <row r="44" spans="1:17" s="83" customFormat="1" ht="60">
      <c r="A44" s="82"/>
      <c r="B44" s="97">
        <v>1113141</v>
      </c>
      <c r="C44" s="99">
        <v>3141</v>
      </c>
      <c r="D44" s="95" t="s">
        <v>197</v>
      </c>
      <c r="E44" s="96" t="s">
        <v>15</v>
      </c>
      <c r="F44" s="98">
        <f t="shared" si="3"/>
        <v>21300</v>
      </c>
      <c r="G44" s="98">
        <v>21300</v>
      </c>
      <c r="H44" s="98"/>
      <c r="I44" s="98"/>
      <c r="J44" s="98"/>
      <c r="K44" s="98"/>
      <c r="L44" s="98"/>
      <c r="M44" s="98"/>
      <c r="N44" s="98"/>
      <c r="O44" s="98"/>
      <c r="P44" s="98"/>
      <c r="Q44" s="98">
        <f>F44</f>
        <v>21300</v>
      </c>
    </row>
    <row r="45" spans="1:17" s="83" customFormat="1" ht="90">
      <c r="A45" s="82"/>
      <c r="B45" s="97">
        <v>1113160</v>
      </c>
      <c r="C45" s="99">
        <v>3160</v>
      </c>
      <c r="D45" s="95" t="s">
        <v>197</v>
      </c>
      <c r="E45" s="96" t="s">
        <v>300</v>
      </c>
      <c r="F45" s="98">
        <f>G45</f>
        <v>349300</v>
      </c>
      <c r="G45" s="98">
        <f>10000+7500+50000+5000+10000+10000+10000+2600+25000+25000+20000+10000+5000+159200</f>
        <v>349300</v>
      </c>
      <c r="H45" s="98"/>
      <c r="I45" s="98"/>
      <c r="J45" s="98"/>
      <c r="K45" s="98"/>
      <c r="L45" s="98"/>
      <c r="M45" s="98"/>
      <c r="N45" s="98"/>
      <c r="O45" s="98"/>
      <c r="P45" s="98"/>
      <c r="Q45" s="98">
        <f>F45</f>
        <v>349300</v>
      </c>
    </row>
    <row r="46" spans="1:17" s="83" customFormat="1" ht="30">
      <c r="A46" s="82"/>
      <c r="B46" s="97">
        <v>1115010</v>
      </c>
      <c r="C46" s="99">
        <v>5010</v>
      </c>
      <c r="D46" s="95"/>
      <c r="E46" s="96" t="s">
        <v>16</v>
      </c>
      <c r="F46" s="98">
        <f>F47+F48</f>
        <v>169000</v>
      </c>
      <c r="G46" s="98">
        <f>G47+G48</f>
        <v>169000</v>
      </c>
      <c r="H46" s="98"/>
      <c r="I46" s="98"/>
      <c r="J46" s="98"/>
      <c r="K46" s="98"/>
      <c r="L46" s="98"/>
      <c r="M46" s="98"/>
      <c r="N46" s="98"/>
      <c r="O46" s="98"/>
      <c r="P46" s="98"/>
      <c r="Q46" s="98">
        <f>Q47+Q48</f>
        <v>169000</v>
      </c>
    </row>
    <row r="47" spans="1:17" s="83" customFormat="1" ht="45">
      <c r="A47" s="82"/>
      <c r="B47" s="97">
        <v>1115011</v>
      </c>
      <c r="C47" s="99">
        <v>5011</v>
      </c>
      <c r="D47" s="95" t="s">
        <v>183</v>
      </c>
      <c r="E47" s="96" t="s">
        <v>20</v>
      </c>
      <c r="F47" s="98">
        <f t="shared" si="3"/>
        <v>101400</v>
      </c>
      <c r="G47" s="98">
        <f>99400+2000</f>
        <v>101400</v>
      </c>
      <c r="H47" s="98"/>
      <c r="I47" s="98"/>
      <c r="J47" s="98"/>
      <c r="K47" s="98"/>
      <c r="L47" s="98"/>
      <c r="M47" s="98"/>
      <c r="N47" s="98"/>
      <c r="O47" s="98"/>
      <c r="P47" s="98"/>
      <c r="Q47" s="98">
        <f>F47</f>
        <v>101400</v>
      </c>
    </row>
    <row r="48" spans="1:17" s="83" customFormat="1" ht="42" customHeight="1">
      <c r="A48" s="82"/>
      <c r="B48" s="97">
        <v>1115012</v>
      </c>
      <c r="C48" s="99">
        <v>5012</v>
      </c>
      <c r="D48" s="95" t="s">
        <v>183</v>
      </c>
      <c r="E48" s="96" t="s">
        <v>21</v>
      </c>
      <c r="F48" s="98">
        <f t="shared" si="3"/>
        <v>67600</v>
      </c>
      <c r="G48" s="98">
        <f>50600+17000</f>
        <v>67600</v>
      </c>
      <c r="H48" s="98"/>
      <c r="I48" s="98"/>
      <c r="J48" s="98"/>
      <c r="K48" s="98"/>
      <c r="L48" s="98"/>
      <c r="M48" s="98"/>
      <c r="N48" s="98"/>
      <c r="O48" s="98"/>
      <c r="P48" s="98"/>
      <c r="Q48" s="98">
        <f>F48</f>
        <v>67600</v>
      </c>
    </row>
    <row r="49" spans="1:17" s="83" customFormat="1" ht="32.25" customHeight="1">
      <c r="A49" s="82"/>
      <c r="B49" s="97">
        <v>1115060</v>
      </c>
      <c r="C49" s="99">
        <v>5060</v>
      </c>
      <c r="D49" s="95"/>
      <c r="E49" s="96" t="s">
        <v>260</v>
      </c>
      <c r="F49" s="98">
        <f>F50</f>
        <v>200000</v>
      </c>
      <c r="G49" s="98">
        <f>G50</f>
        <v>200000</v>
      </c>
      <c r="H49" s="98"/>
      <c r="I49" s="98"/>
      <c r="J49" s="98"/>
      <c r="K49" s="98"/>
      <c r="L49" s="98"/>
      <c r="M49" s="98"/>
      <c r="N49" s="98"/>
      <c r="O49" s="98"/>
      <c r="P49" s="98"/>
      <c r="Q49" s="98">
        <f>Q50</f>
        <v>200000</v>
      </c>
    </row>
    <row r="50" spans="1:17" s="83" customFormat="1" ht="60">
      <c r="A50" s="82"/>
      <c r="B50" s="97">
        <v>1115062</v>
      </c>
      <c r="C50" s="99">
        <v>5062</v>
      </c>
      <c r="D50" s="95" t="s">
        <v>183</v>
      </c>
      <c r="E50" s="96" t="s">
        <v>19</v>
      </c>
      <c r="F50" s="98">
        <f t="shared" si="3"/>
        <v>200000</v>
      </c>
      <c r="G50" s="98">
        <f>100000+100000</f>
        <v>200000</v>
      </c>
      <c r="H50" s="98"/>
      <c r="I50" s="98"/>
      <c r="J50" s="98"/>
      <c r="K50" s="98"/>
      <c r="L50" s="98"/>
      <c r="M50" s="98"/>
      <c r="N50" s="98"/>
      <c r="O50" s="98"/>
      <c r="P50" s="98"/>
      <c r="Q50" s="98">
        <f>F50</f>
        <v>200000</v>
      </c>
    </row>
    <row r="51" spans="1:17" s="83" customFormat="1" ht="15">
      <c r="A51" s="82"/>
      <c r="B51" s="97">
        <v>1118600</v>
      </c>
      <c r="C51" s="99">
        <v>8600</v>
      </c>
      <c r="D51" s="95" t="s">
        <v>180</v>
      </c>
      <c r="E51" s="96" t="s">
        <v>181</v>
      </c>
      <c r="F51" s="98">
        <f>10000+5400</f>
        <v>15400</v>
      </c>
      <c r="G51" s="98">
        <f>10000+5400</f>
        <v>15400</v>
      </c>
      <c r="H51" s="98"/>
      <c r="I51" s="98"/>
      <c r="J51" s="98"/>
      <c r="K51" s="98"/>
      <c r="L51" s="98"/>
      <c r="M51" s="98"/>
      <c r="N51" s="98"/>
      <c r="O51" s="98"/>
      <c r="P51" s="98"/>
      <c r="Q51" s="98">
        <f>G51</f>
        <v>15400</v>
      </c>
    </row>
    <row r="52" spans="1:17" s="83" customFormat="1" ht="90">
      <c r="A52" s="82"/>
      <c r="B52" s="97">
        <v>1113160</v>
      </c>
      <c r="C52" s="99">
        <v>3160</v>
      </c>
      <c r="D52" s="95" t="s">
        <v>197</v>
      </c>
      <c r="E52" s="96" t="s">
        <v>300</v>
      </c>
      <c r="F52" s="98">
        <v>100000</v>
      </c>
      <c r="G52" s="98">
        <v>100000</v>
      </c>
      <c r="H52" s="98"/>
      <c r="I52" s="98"/>
      <c r="J52" s="98"/>
      <c r="K52" s="98"/>
      <c r="L52" s="98"/>
      <c r="M52" s="98"/>
      <c r="N52" s="98"/>
      <c r="O52" s="98"/>
      <c r="P52" s="98"/>
      <c r="Q52" s="98">
        <f>G52</f>
        <v>100000</v>
      </c>
    </row>
    <row r="53" spans="1:17" s="132" customFormat="1" ht="42.75">
      <c r="A53" s="131"/>
      <c r="B53" s="97">
        <v>1400000</v>
      </c>
      <c r="C53" s="97"/>
      <c r="D53" s="90"/>
      <c r="E53" s="100" t="s">
        <v>200</v>
      </c>
      <c r="F53" s="94">
        <f>F54</f>
        <v>19779388</v>
      </c>
      <c r="G53" s="94">
        <f>G54</f>
        <v>19779388</v>
      </c>
      <c r="H53" s="94">
        <f>H54</f>
        <v>0</v>
      </c>
      <c r="I53" s="94">
        <f>I54</f>
        <v>0</v>
      </c>
      <c r="J53" s="94"/>
      <c r="K53" s="94">
        <f>K54</f>
        <v>32000</v>
      </c>
      <c r="L53" s="94"/>
      <c r="M53" s="94"/>
      <c r="N53" s="94"/>
      <c r="O53" s="94">
        <f>O54</f>
        <v>32000</v>
      </c>
      <c r="P53" s="94">
        <f>P54</f>
        <v>32000</v>
      </c>
      <c r="Q53" s="94">
        <f>F53+K53</f>
        <v>19811388</v>
      </c>
    </row>
    <row r="54" spans="1:17" s="132" customFormat="1" ht="42.75">
      <c r="A54" s="131"/>
      <c r="B54" s="97">
        <v>1410000</v>
      </c>
      <c r="C54" s="97"/>
      <c r="D54" s="90"/>
      <c r="E54" s="100" t="s">
        <v>200</v>
      </c>
      <c r="F54" s="94">
        <f>F55+F56+F57+F58</f>
        <v>19779388</v>
      </c>
      <c r="G54" s="94">
        <f>G55+G56+G57+G58</f>
        <v>19779388</v>
      </c>
      <c r="H54" s="94">
        <f>H55+H56</f>
        <v>0</v>
      </c>
      <c r="I54" s="94">
        <f>I55+I56</f>
        <v>0</v>
      </c>
      <c r="J54" s="94"/>
      <c r="K54" s="94">
        <f>K56</f>
        <v>32000</v>
      </c>
      <c r="L54" s="94"/>
      <c r="M54" s="94"/>
      <c r="N54" s="94"/>
      <c r="O54" s="94">
        <f>O56</f>
        <v>32000</v>
      </c>
      <c r="P54" s="94">
        <f>P56</f>
        <v>32000</v>
      </c>
      <c r="Q54" s="94">
        <f>Q55+Q56+Q57+Q58</f>
        <v>19811388</v>
      </c>
    </row>
    <row r="55" spans="1:17" s="83" customFormat="1" ht="28.5" hidden="1">
      <c r="A55" s="82"/>
      <c r="B55" s="97">
        <v>1412010</v>
      </c>
      <c r="C55" s="99">
        <v>2010</v>
      </c>
      <c r="D55" s="95" t="s">
        <v>201</v>
      </c>
      <c r="E55" s="100" t="s">
        <v>202</v>
      </c>
      <c r="F55" s="98">
        <f>G55</f>
        <v>0</v>
      </c>
      <c r="G55" s="98"/>
      <c r="H55" s="98"/>
      <c r="I55" s="98"/>
      <c r="J55" s="98"/>
      <c r="K55" s="98"/>
      <c r="L55" s="98"/>
      <c r="M55" s="98"/>
      <c r="N55" s="98"/>
      <c r="O55" s="98"/>
      <c r="P55" s="98"/>
      <c r="Q55" s="98">
        <f>F55</f>
        <v>0</v>
      </c>
    </row>
    <row r="56" spans="1:17" s="83" customFormat="1" ht="30">
      <c r="A56" s="82"/>
      <c r="B56" s="97">
        <v>1412180</v>
      </c>
      <c r="C56" s="99">
        <v>2180</v>
      </c>
      <c r="D56" s="95" t="s">
        <v>203</v>
      </c>
      <c r="E56" s="96" t="s">
        <v>204</v>
      </c>
      <c r="F56" s="98">
        <f>G56</f>
        <v>18233154</v>
      </c>
      <c r="G56" s="98">
        <f>5448740+951350+1198720+929490+150000+2850000+100000+100000+90000+70000+4644354+5000+112200+101400+653389+20000+5000+12900+12900+123700+39000+5000+140000+5000+75000+100000+50000+40000-653389+121500+700000+10000+21900</f>
        <v>18233154</v>
      </c>
      <c r="H56" s="292"/>
      <c r="I56" s="292"/>
      <c r="J56" s="98"/>
      <c r="K56" s="98">
        <f>13000+9000+10000</f>
        <v>32000</v>
      </c>
      <c r="L56" s="98"/>
      <c r="M56" s="98"/>
      <c r="N56" s="98"/>
      <c r="O56" s="98">
        <f>13000+9000+10000</f>
        <v>32000</v>
      </c>
      <c r="P56" s="98">
        <f>13000+9000+10000</f>
        <v>32000</v>
      </c>
      <c r="Q56" s="98">
        <f>F56+K56</f>
        <v>18265154</v>
      </c>
    </row>
    <row r="57" spans="1:17" s="83" customFormat="1" ht="15">
      <c r="A57" s="82"/>
      <c r="B57" s="97">
        <v>1412220</v>
      </c>
      <c r="C57" s="99">
        <v>2220</v>
      </c>
      <c r="D57" s="95" t="s">
        <v>443</v>
      </c>
      <c r="E57" s="96" t="s">
        <v>6</v>
      </c>
      <c r="F57" s="98">
        <f>G57</f>
        <v>1535389</v>
      </c>
      <c r="G57" s="98">
        <f>300000+100000+102000+130000+100000+653389+150000</f>
        <v>1535389</v>
      </c>
      <c r="H57" s="292"/>
      <c r="I57" s="292"/>
      <c r="J57" s="98"/>
      <c r="K57" s="98"/>
      <c r="L57" s="98"/>
      <c r="M57" s="98"/>
      <c r="N57" s="98"/>
      <c r="O57" s="98"/>
      <c r="P57" s="98"/>
      <c r="Q57" s="98">
        <f>G57</f>
        <v>1535389</v>
      </c>
    </row>
    <row r="58" spans="1:17" s="83" customFormat="1" ht="15">
      <c r="A58" s="82"/>
      <c r="B58" s="97">
        <v>1418600</v>
      </c>
      <c r="C58" s="99">
        <v>8600</v>
      </c>
      <c r="D58" s="95" t="s">
        <v>180</v>
      </c>
      <c r="E58" s="96" t="s">
        <v>181</v>
      </c>
      <c r="F58" s="98">
        <f>G58</f>
        <v>10845</v>
      </c>
      <c r="G58" s="98">
        <v>10845</v>
      </c>
      <c r="H58" s="292"/>
      <c r="I58" s="292"/>
      <c r="J58" s="98"/>
      <c r="K58" s="98"/>
      <c r="L58" s="98"/>
      <c r="M58" s="98"/>
      <c r="N58" s="98"/>
      <c r="O58" s="98"/>
      <c r="P58" s="98"/>
      <c r="Q58" s="98">
        <f>F58</f>
        <v>10845</v>
      </c>
    </row>
    <row r="59" spans="1:17" s="132" customFormat="1" ht="57">
      <c r="A59" s="131"/>
      <c r="B59" s="97">
        <v>1500000</v>
      </c>
      <c r="C59" s="97"/>
      <c r="D59" s="90"/>
      <c r="E59" s="100" t="s">
        <v>205</v>
      </c>
      <c r="F59" s="94">
        <f>F60</f>
        <v>165944350</v>
      </c>
      <c r="G59" s="94">
        <f>G60</f>
        <v>165944350</v>
      </c>
      <c r="H59" s="94">
        <f>H60</f>
        <v>3261360</v>
      </c>
      <c r="I59" s="94">
        <f>I60</f>
        <v>175000</v>
      </c>
      <c r="J59" s="94"/>
      <c r="K59" s="94">
        <f>K60</f>
        <v>71000</v>
      </c>
      <c r="L59" s="94">
        <f>L60</f>
        <v>71000</v>
      </c>
      <c r="M59" s="94"/>
      <c r="N59" s="94"/>
      <c r="O59" s="94">
        <f>O60</f>
        <v>20000</v>
      </c>
      <c r="P59" s="94">
        <f>P60</f>
        <v>20000</v>
      </c>
      <c r="Q59" s="94">
        <f>Q60</f>
        <v>166015350</v>
      </c>
    </row>
    <row r="60" spans="1:17" s="132" customFormat="1" ht="57">
      <c r="A60" s="131"/>
      <c r="B60" s="97">
        <v>1510000</v>
      </c>
      <c r="C60" s="97"/>
      <c r="D60" s="90"/>
      <c r="E60" s="100" t="s">
        <v>205</v>
      </c>
      <c r="F60" s="94">
        <f>F61+F63+F64+F65+F66+F67+F68+F70+F71+F72+F73+F74+F75+F78+F80+F81+F83+F84+F85+F86+F87+F88+F89+F90+F91+F93+F95+F97+F99+F100+F101+F79+F77</f>
        <v>165944350</v>
      </c>
      <c r="G60" s="94">
        <f>G61+G63+G64+G65+G66+G67+G68+G70+G71+G72+G73+G74+G75+G78+G80+G81+G83+G84+G85+G86+G87+G88+G89+G90+G91+G93+G95+G97+G99+G100+G101+G79+G77</f>
        <v>165944350</v>
      </c>
      <c r="H60" s="94">
        <f>H61+H63+H64+H65+H66+H67+H68+H70+H71+H72+H73+H74+H75+H78+H80+H81+H83+H84+H85+H86+H87+H88+H89+H90+H91+H93+H95+H97+H99+H100+H101+H79</f>
        <v>3261360</v>
      </c>
      <c r="I60" s="94">
        <f>I61+I63+I64+I65+I66+I67+I68+I70+I71+I72+I73+I74+I75+68+I80+I81+I83+I84+I85+I86+I87+I88+I89+I90+I91+I93+I95+I97+I99+I100+I101+I79-68</f>
        <v>175000</v>
      </c>
      <c r="J60" s="94"/>
      <c r="K60" s="94">
        <f>K93</f>
        <v>71000</v>
      </c>
      <c r="L60" s="94">
        <f>K60</f>
        <v>71000</v>
      </c>
      <c r="M60" s="94"/>
      <c r="N60" s="94"/>
      <c r="O60" s="94">
        <f>O93</f>
        <v>20000</v>
      </c>
      <c r="P60" s="94">
        <f>P93</f>
        <v>20000</v>
      </c>
      <c r="Q60" s="94">
        <f>Q61+Q63+Q64+Q65+Q66+Q67+Q68+Q70+Q71+Q72+Q73+Q74+Q75+Q78+Q80+Q81+Q83+Q84+Q85+Q86+Q87+Q88+Q89+Q90+Q91+Q93+Q95+Q97+Q99+Q100+Q101+Q79+Q77</f>
        <v>166015350</v>
      </c>
    </row>
    <row r="61" spans="1:17" s="83" customFormat="1" ht="105">
      <c r="A61" s="82"/>
      <c r="B61" s="97">
        <v>1511060</v>
      </c>
      <c r="C61" s="99">
        <v>1060</v>
      </c>
      <c r="D61" s="95" t="s">
        <v>206</v>
      </c>
      <c r="E61" s="96" t="s">
        <v>283</v>
      </c>
      <c r="F61" s="98">
        <f aca="true" t="shared" si="4" ref="F61:F70">G61</f>
        <v>2303600</v>
      </c>
      <c r="G61" s="98">
        <v>2303600</v>
      </c>
      <c r="H61" s="98"/>
      <c r="I61" s="98"/>
      <c r="J61" s="98"/>
      <c r="K61" s="98"/>
      <c r="L61" s="98"/>
      <c r="M61" s="98"/>
      <c r="N61" s="98"/>
      <c r="O61" s="98"/>
      <c r="P61" s="98"/>
      <c r="Q61" s="98">
        <f aca="true" t="shared" si="5" ref="Q61:Q70">F61</f>
        <v>2303600</v>
      </c>
    </row>
    <row r="62" spans="1:17" s="83" customFormat="1" ht="90">
      <c r="A62" s="82"/>
      <c r="B62" s="97">
        <v>1513010</v>
      </c>
      <c r="C62" s="99">
        <v>3010</v>
      </c>
      <c r="D62" s="95"/>
      <c r="E62" s="381" t="s">
        <v>116</v>
      </c>
      <c r="F62" s="98">
        <f>F63+F65+F64+F67+F68+F66</f>
        <v>42889800</v>
      </c>
      <c r="G62" s="98">
        <f>G63+G65+G64+G67+G68</f>
        <v>41689800</v>
      </c>
      <c r="H62" s="98"/>
      <c r="I62" s="98"/>
      <c r="J62" s="98"/>
      <c r="K62" s="98"/>
      <c r="L62" s="98"/>
      <c r="M62" s="98"/>
      <c r="N62" s="98"/>
      <c r="O62" s="98"/>
      <c r="P62" s="98"/>
      <c r="Q62" s="98">
        <f>Q63+Q65+Q64+Q67+Q68</f>
        <v>41689800</v>
      </c>
    </row>
    <row r="63" spans="1:17" s="83" customFormat="1" ht="300">
      <c r="A63" s="82"/>
      <c r="B63" s="97">
        <v>1513011</v>
      </c>
      <c r="C63" s="99">
        <v>3011</v>
      </c>
      <c r="D63" s="95" t="s">
        <v>207</v>
      </c>
      <c r="E63" s="133" t="s">
        <v>209</v>
      </c>
      <c r="F63" s="98">
        <f t="shared" si="4"/>
        <v>5000000</v>
      </c>
      <c r="G63" s="98">
        <v>5000000</v>
      </c>
      <c r="H63" s="98"/>
      <c r="I63" s="98"/>
      <c r="J63" s="98"/>
      <c r="K63" s="98"/>
      <c r="L63" s="98"/>
      <c r="M63" s="98"/>
      <c r="N63" s="98"/>
      <c r="O63" s="98"/>
      <c r="P63" s="98"/>
      <c r="Q63" s="98">
        <f t="shared" si="5"/>
        <v>5000000</v>
      </c>
    </row>
    <row r="64" spans="1:17" s="83" customFormat="1" ht="381" customHeight="1">
      <c r="A64" s="82"/>
      <c r="B64" s="97">
        <v>1513012</v>
      </c>
      <c r="C64" s="99">
        <v>3012</v>
      </c>
      <c r="D64" s="95" t="s">
        <v>207</v>
      </c>
      <c r="E64" s="380" t="s">
        <v>275</v>
      </c>
      <c r="F64" s="98">
        <f t="shared" si="4"/>
        <v>120000</v>
      </c>
      <c r="G64" s="98">
        <v>120000</v>
      </c>
      <c r="H64" s="98"/>
      <c r="I64" s="98"/>
      <c r="J64" s="98"/>
      <c r="K64" s="98"/>
      <c r="L64" s="98"/>
      <c r="M64" s="98"/>
      <c r="N64" s="98"/>
      <c r="O64" s="98"/>
      <c r="P64" s="98"/>
      <c r="Q64" s="98">
        <f t="shared" si="5"/>
        <v>120000</v>
      </c>
    </row>
    <row r="65" spans="1:17" s="83" customFormat="1" ht="120">
      <c r="A65" s="82"/>
      <c r="B65" s="97">
        <v>1513013</v>
      </c>
      <c r="C65" s="99">
        <v>3013</v>
      </c>
      <c r="D65" s="95" t="s">
        <v>267</v>
      </c>
      <c r="E65" s="134" t="s">
        <v>268</v>
      </c>
      <c r="F65" s="98">
        <f t="shared" si="4"/>
        <v>1000000</v>
      </c>
      <c r="G65" s="98">
        <v>1000000</v>
      </c>
      <c r="H65" s="98"/>
      <c r="I65" s="98"/>
      <c r="J65" s="98"/>
      <c r="K65" s="98"/>
      <c r="L65" s="98"/>
      <c r="M65" s="98"/>
      <c r="N65" s="98"/>
      <c r="O65" s="98"/>
      <c r="P65" s="98"/>
      <c r="Q65" s="98">
        <f t="shared" si="5"/>
        <v>1000000</v>
      </c>
    </row>
    <row r="66" spans="1:17" s="83" customFormat="1" ht="240">
      <c r="A66" s="82"/>
      <c r="B66" s="97">
        <v>1513014</v>
      </c>
      <c r="C66" s="99">
        <v>3014</v>
      </c>
      <c r="D66" s="95" t="s">
        <v>267</v>
      </c>
      <c r="E66" s="134" t="s">
        <v>284</v>
      </c>
      <c r="F66" s="98">
        <f t="shared" si="4"/>
        <v>1200000</v>
      </c>
      <c r="G66" s="98">
        <v>1200000</v>
      </c>
      <c r="H66" s="98"/>
      <c r="I66" s="98"/>
      <c r="J66" s="98"/>
      <c r="K66" s="98"/>
      <c r="L66" s="98"/>
      <c r="M66" s="98"/>
      <c r="N66" s="98"/>
      <c r="O66" s="98"/>
      <c r="P66" s="98"/>
      <c r="Q66" s="98">
        <f t="shared" si="5"/>
        <v>1200000</v>
      </c>
    </row>
    <row r="67" spans="1:17" s="83" customFormat="1" ht="30">
      <c r="A67" s="82"/>
      <c r="B67" s="97">
        <v>1513015</v>
      </c>
      <c r="C67" s="99">
        <v>3015</v>
      </c>
      <c r="D67" s="95" t="s">
        <v>267</v>
      </c>
      <c r="E67" s="134" t="s">
        <v>285</v>
      </c>
      <c r="F67" s="98">
        <f t="shared" si="4"/>
        <v>800000</v>
      </c>
      <c r="G67" s="98">
        <v>800000</v>
      </c>
      <c r="H67" s="98"/>
      <c r="I67" s="98"/>
      <c r="J67" s="98"/>
      <c r="K67" s="98"/>
      <c r="L67" s="98"/>
      <c r="M67" s="98"/>
      <c r="N67" s="98"/>
      <c r="O67" s="98"/>
      <c r="P67" s="98"/>
      <c r="Q67" s="98">
        <f t="shared" si="5"/>
        <v>800000</v>
      </c>
    </row>
    <row r="68" spans="1:17" s="83" customFormat="1" ht="45">
      <c r="A68" s="82"/>
      <c r="B68" s="97">
        <v>1513016</v>
      </c>
      <c r="C68" s="99">
        <v>3016</v>
      </c>
      <c r="D68" s="95" t="s">
        <v>108</v>
      </c>
      <c r="E68" s="135" t="s">
        <v>293</v>
      </c>
      <c r="F68" s="98">
        <f t="shared" si="4"/>
        <v>34769800</v>
      </c>
      <c r="G68" s="98">
        <v>34769800</v>
      </c>
      <c r="H68" s="98"/>
      <c r="I68" s="98"/>
      <c r="J68" s="98"/>
      <c r="K68" s="98"/>
      <c r="L68" s="98"/>
      <c r="M68" s="98"/>
      <c r="N68" s="98"/>
      <c r="O68" s="98"/>
      <c r="P68" s="98"/>
      <c r="Q68" s="98">
        <f t="shared" si="5"/>
        <v>34769800</v>
      </c>
    </row>
    <row r="69" spans="1:17" s="83" customFormat="1" ht="60">
      <c r="A69" s="82"/>
      <c r="B69" s="97">
        <v>1513020</v>
      </c>
      <c r="C69" s="99">
        <v>3020</v>
      </c>
      <c r="D69" s="95"/>
      <c r="E69" s="135" t="s">
        <v>126</v>
      </c>
      <c r="F69" s="98">
        <f>F70+F71+F72+F73+F74+F75</f>
        <v>17117200</v>
      </c>
      <c r="G69" s="98">
        <f>G70+G71+G72+G73+G74+G75</f>
        <v>17117200</v>
      </c>
      <c r="H69" s="98"/>
      <c r="I69" s="98"/>
      <c r="J69" s="98"/>
      <c r="K69" s="98"/>
      <c r="L69" s="98"/>
      <c r="M69" s="98"/>
      <c r="N69" s="98"/>
      <c r="O69" s="98"/>
      <c r="P69" s="98"/>
      <c r="Q69" s="98">
        <f t="shared" si="5"/>
        <v>17117200</v>
      </c>
    </row>
    <row r="70" spans="1:17" s="83" customFormat="1" ht="255">
      <c r="A70" s="82"/>
      <c r="B70" s="97">
        <v>1513021</v>
      </c>
      <c r="C70" s="99">
        <v>3021</v>
      </c>
      <c r="D70" s="95" t="s">
        <v>207</v>
      </c>
      <c r="E70" s="134" t="s">
        <v>256</v>
      </c>
      <c r="F70" s="98">
        <f t="shared" si="4"/>
        <v>1598010</v>
      </c>
      <c r="G70" s="98">
        <f>1600000-1990</f>
        <v>1598010</v>
      </c>
      <c r="H70" s="98"/>
      <c r="I70" s="98"/>
      <c r="J70" s="98"/>
      <c r="K70" s="98"/>
      <c r="L70" s="98"/>
      <c r="M70" s="98"/>
      <c r="N70" s="98"/>
      <c r="O70" s="98"/>
      <c r="P70" s="98"/>
      <c r="Q70" s="98">
        <f t="shared" si="5"/>
        <v>1598010</v>
      </c>
    </row>
    <row r="71" spans="1:17" s="83" customFormat="1" ht="202.5" customHeight="1">
      <c r="A71" s="82"/>
      <c r="B71" s="97">
        <v>1513022</v>
      </c>
      <c r="C71" s="99">
        <v>3022</v>
      </c>
      <c r="D71" s="95" t="s">
        <v>207</v>
      </c>
      <c r="E71" s="149" t="s">
        <v>334</v>
      </c>
      <c r="F71" s="98">
        <f aca="true" t="shared" si="6" ref="F71:F90">G71</f>
        <v>5490</v>
      </c>
      <c r="G71" s="98">
        <f>3500+1990</f>
        <v>5490</v>
      </c>
      <c r="H71" s="98"/>
      <c r="I71" s="98"/>
      <c r="J71" s="98"/>
      <c r="K71" s="98"/>
      <c r="L71" s="98"/>
      <c r="M71" s="98"/>
      <c r="N71" s="98"/>
      <c r="O71" s="98"/>
      <c r="P71" s="98"/>
      <c r="Q71" s="98">
        <f aca="true" t="shared" si="7" ref="Q71:Q90">F71</f>
        <v>5490</v>
      </c>
    </row>
    <row r="72" spans="1:17" s="83" customFormat="1" ht="120">
      <c r="A72" s="82"/>
      <c r="B72" s="97">
        <v>1513023</v>
      </c>
      <c r="C72" s="99">
        <v>3023</v>
      </c>
      <c r="D72" s="95" t="s">
        <v>267</v>
      </c>
      <c r="E72" s="134" t="s">
        <v>269</v>
      </c>
      <c r="F72" s="98">
        <f t="shared" si="6"/>
        <v>550000</v>
      </c>
      <c r="G72" s="98">
        <v>550000</v>
      </c>
      <c r="H72" s="98"/>
      <c r="I72" s="98"/>
      <c r="J72" s="98"/>
      <c r="K72" s="98"/>
      <c r="L72" s="98"/>
      <c r="M72" s="98"/>
      <c r="N72" s="98"/>
      <c r="O72" s="98"/>
      <c r="P72" s="98"/>
      <c r="Q72" s="98">
        <f t="shared" si="7"/>
        <v>550000</v>
      </c>
    </row>
    <row r="73" spans="1:17" s="83" customFormat="1" ht="240">
      <c r="A73" s="82"/>
      <c r="B73" s="97">
        <v>1513024</v>
      </c>
      <c r="C73" s="99">
        <v>3024</v>
      </c>
      <c r="D73" s="95" t="s">
        <v>267</v>
      </c>
      <c r="E73" s="134" t="s">
        <v>264</v>
      </c>
      <c r="F73" s="98">
        <f t="shared" si="6"/>
        <v>350000</v>
      </c>
      <c r="G73" s="98">
        <v>350000</v>
      </c>
      <c r="H73" s="98"/>
      <c r="I73" s="98"/>
      <c r="J73" s="98"/>
      <c r="K73" s="98"/>
      <c r="L73" s="98"/>
      <c r="M73" s="98"/>
      <c r="N73" s="98"/>
      <c r="O73" s="98"/>
      <c r="P73" s="98"/>
      <c r="Q73" s="98">
        <f t="shared" si="7"/>
        <v>350000</v>
      </c>
    </row>
    <row r="74" spans="1:17" s="83" customFormat="1" ht="45">
      <c r="A74" s="82"/>
      <c r="B74" s="97">
        <v>1513025</v>
      </c>
      <c r="C74" s="99">
        <v>3025</v>
      </c>
      <c r="D74" s="95" t="s">
        <v>267</v>
      </c>
      <c r="E74" s="134" t="s">
        <v>286</v>
      </c>
      <c r="F74" s="98">
        <f>G74</f>
        <v>500000</v>
      </c>
      <c r="G74" s="98">
        <v>500000</v>
      </c>
      <c r="H74" s="98"/>
      <c r="I74" s="98"/>
      <c r="J74" s="98"/>
      <c r="K74" s="98"/>
      <c r="L74" s="98"/>
      <c r="M74" s="98"/>
      <c r="N74" s="98"/>
      <c r="O74" s="98"/>
      <c r="P74" s="98"/>
      <c r="Q74" s="98">
        <f>F74</f>
        <v>500000</v>
      </c>
    </row>
    <row r="75" spans="1:17" s="83" customFormat="1" ht="60">
      <c r="A75" s="82"/>
      <c r="B75" s="97">
        <v>1513026</v>
      </c>
      <c r="C75" s="99">
        <v>3026</v>
      </c>
      <c r="D75" s="95" t="s">
        <v>108</v>
      </c>
      <c r="E75" s="136" t="s">
        <v>294</v>
      </c>
      <c r="F75" s="98">
        <f>G75</f>
        <v>14113700</v>
      </c>
      <c r="G75" s="98">
        <v>14113700</v>
      </c>
      <c r="H75" s="98"/>
      <c r="I75" s="98"/>
      <c r="J75" s="98"/>
      <c r="K75" s="98"/>
      <c r="L75" s="98"/>
      <c r="M75" s="98"/>
      <c r="N75" s="98"/>
      <c r="O75" s="98"/>
      <c r="P75" s="98"/>
      <c r="Q75" s="98">
        <f>F75</f>
        <v>14113700</v>
      </c>
    </row>
    <row r="76" spans="1:17" s="83" customFormat="1" ht="225.75" customHeight="1">
      <c r="A76" s="82"/>
      <c r="B76" s="97">
        <v>1513030</v>
      </c>
      <c r="C76" s="99">
        <v>3030</v>
      </c>
      <c r="D76" s="95"/>
      <c r="E76" s="139" t="s">
        <v>127</v>
      </c>
      <c r="F76" s="98">
        <f>F78+F79+F80+F81+F77</f>
        <v>771650</v>
      </c>
      <c r="G76" s="98">
        <f>G78+G79+G80+G81+G77</f>
        <v>771650</v>
      </c>
      <c r="H76" s="98"/>
      <c r="I76" s="98"/>
      <c r="J76" s="98"/>
      <c r="K76" s="98"/>
      <c r="L76" s="98"/>
      <c r="M76" s="98"/>
      <c r="N76" s="98"/>
      <c r="O76" s="98"/>
      <c r="P76" s="98"/>
      <c r="Q76" s="98">
        <f>F76</f>
        <v>771650</v>
      </c>
    </row>
    <row r="77" spans="1:17" s="83" customFormat="1" ht="261" customHeight="1">
      <c r="A77" s="82"/>
      <c r="B77" s="97">
        <v>1513031</v>
      </c>
      <c r="C77" s="99">
        <v>3031</v>
      </c>
      <c r="D77" s="95" t="s">
        <v>207</v>
      </c>
      <c r="E77" s="139" t="s">
        <v>324</v>
      </c>
      <c r="F77" s="98">
        <f>G77</f>
        <v>0</v>
      </c>
      <c r="G77" s="98">
        <v>0</v>
      </c>
      <c r="H77" s="98"/>
      <c r="I77" s="98"/>
      <c r="J77" s="98"/>
      <c r="K77" s="98"/>
      <c r="L77" s="98"/>
      <c r="M77" s="98"/>
      <c r="N77" s="98"/>
      <c r="O77" s="98"/>
      <c r="P77" s="98"/>
      <c r="Q77" s="98">
        <f>F77</f>
        <v>0</v>
      </c>
    </row>
    <row r="78" spans="1:17" s="83" customFormat="1" ht="106.5" customHeight="1">
      <c r="A78" s="82"/>
      <c r="B78" s="97">
        <v>1513033</v>
      </c>
      <c r="C78" s="99">
        <v>3033</v>
      </c>
      <c r="D78" s="95" t="s">
        <v>267</v>
      </c>
      <c r="E78" s="139" t="s">
        <v>320</v>
      </c>
      <c r="F78" s="98">
        <f>G78</f>
        <v>4000</v>
      </c>
      <c r="G78" s="98">
        <v>4000</v>
      </c>
      <c r="H78" s="98"/>
      <c r="I78" s="98"/>
      <c r="J78" s="98"/>
      <c r="K78" s="98"/>
      <c r="L78" s="98"/>
      <c r="M78" s="98"/>
      <c r="N78" s="98"/>
      <c r="O78" s="98"/>
      <c r="P78" s="98"/>
      <c r="Q78" s="98">
        <f>F78</f>
        <v>4000</v>
      </c>
    </row>
    <row r="79" spans="1:17" s="83" customFormat="1" ht="38.25" customHeight="1">
      <c r="A79" s="82"/>
      <c r="B79" s="97">
        <v>1513034</v>
      </c>
      <c r="C79" s="99">
        <v>3034</v>
      </c>
      <c r="D79" s="95" t="s">
        <v>267</v>
      </c>
      <c r="E79" s="139" t="s">
        <v>362</v>
      </c>
      <c r="F79" s="98">
        <f>10000+22750+30000</f>
        <v>62750</v>
      </c>
      <c r="G79" s="98">
        <f>10000+22750+30000</f>
        <v>62750</v>
      </c>
      <c r="H79" s="98"/>
      <c r="I79" s="98"/>
      <c r="J79" s="98"/>
      <c r="K79" s="98"/>
      <c r="L79" s="98"/>
      <c r="M79" s="98"/>
      <c r="N79" s="98"/>
      <c r="O79" s="98"/>
      <c r="P79" s="98"/>
      <c r="Q79" s="98">
        <f>G79</f>
        <v>62750</v>
      </c>
    </row>
    <row r="80" spans="1:17" s="83" customFormat="1" ht="48" customHeight="1">
      <c r="A80" s="82"/>
      <c r="B80" s="97">
        <v>1513035</v>
      </c>
      <c r="C80" s="99">
        <v>3035</v>
      </c>
      <c r="D80" s="95" t="s">
        <v>267</v>
      </c>
      <c r="E80" s="138" t="s">
        <v>307</v>
      </c>
      <c r="F80" s="98">
        <f>G80</f>
        <v>687900</v>
      </c>
      <c r="G80" s="98">
        <f>300000+257900+10000+120000</f>
        <v>687900</v>
      </c>
      <c r="H80" s="98"/>
      <c r="I80" s="98"/>
      <c r="J80" s="98"/>
      <c r="K80" s="98"/>
      <c r="L80" s="98"/>
      <c r="M80" s="98"/>
      <c r="N80" s="98"/>
      <c r="O80" s="98"/>
      <c r="P80" s="98"/>
      <c r="Q80" s="98">
        <f>F80</f>
        <v>687900</v>
      </c>
    </row>
    <row r="81" spans="1:17" s="83" customFormat="1" ht="48" customHeight="1">
      <c r="A81" s="82"/>
      <c r="B81" s="97">
        <v>1513037</v>
      </c>
      <c r="C81" s="99">
        <v>3037</v>
      </c>
      <c r="D81" s="95" t="s">
        <v>267</v>
      </c>
      <c r="E81" s="139" t="s">
        <v>308</v>
      </c>
      <c r="F81" s="98">
        <f>G81</f>
        <v>17000</v>
      </c>
      <c r="G81" s="98">
        <f>10000+7000</f>
        <v>17000</v>
      </c>
      <c r="H81" s="98"/>
      <c r="I81" s="98"/>
      <c r="J81" s="98"/>
      <c r="K81" s="98"/>
      <c r="L81" s="98"/>
      <c r="M81" s="98"/>
      <c r="N81" s="98"/>
      <c r="O81" s="98"/>
      <c r="P81" s="98"/>
      <c r="Q81" s="98">
        <f>F81</f>
        <v>17000</v>
      </c>
    </row>
    <row r="82" spans="1:17" s="83" customFormat="1" ht="63" customHeight="1">
      <c r="A82" s="82"/>
      <c r="B82" s="97">
        <v>1513040</v>
      </c>
      <c r="C82" s="99">
        <v>3040</v>
      </c>
      <c r="D82" s="95"/>
      <c r="E82" s="139" t="s">
        <v>128</v>
      </c>
      <c r="F82" s="98">
        <f>F83+F84+F85+F86+F87+F88+F89+F90</f>
        <v>95621600</v>
      </c>
      <c r="G82" s="98">
        <f>G83+G84+G85+G86+G87+G88+G89+G90</f>
        <v>95621600</v>
      </c>
      <c r="H82" s="98"/>
      <c r="I82" s="98"/>
      <c r="J82" s="98"/>
      <c r="K82" s="98"/>
      <c r="L82" s="98"/>
      <c r="M82" s="98"/>
      <c r="N82" s="98"/>
      <c r="O82" s="98"/>
      <c r="P82" s="98"/>
      <c r="Q82" s="98">
        <f>Q83+Q84+Q85+Q86+Q87+Q88+Q89+Q90</f>
        <v>95621600</v>
      </c>
    </row>
    <row r="83" spans="1:17" s="83" customFormat="1" ht="33" customHeight="1">
      <c r="A83" s="82"/>
      <c r="B83" s="97">
        <v>1513041</v>
      </c>
      <c r="C83" s="99">
        <v>3041</v>
      </c>
      <c r="D83" s="95" t="s">
        <v>197</v>
      </c>
      <c r="E83" s="139" t="s">
        <v>276</v>
      </c>
      <c r="F83" s="98">
        <v>671600</v>
      </c>
      <c r="G83" s="98">
        <v>671600</v>
      </c>
      <c r="H83" s="98"/>
      <c r="I83" s="98"/>
      <c r="J83" s="98"/>
      <c r="K83" s="98"/>
      <c r="L83" s="98"/>
      <c r="M83" s="98"/>
      <c r="N83" s="98"/>
      <c r="O83" s="98"/>
      <c r="P83" s="98"/>
      <c r="Q83" s="98">
        <v>671600</v>
      </c>
    </row>
    <row r="84" spans="1:17" s="83" customFormat="1" ht="30">
      <c r="A84" s="82"/>
      <c r="B84" s="97">
        <v>1513042</v>
      </c>
      <c r="C84" s="99">
        <v>3042</v>
      </c>
      <c r="D84" s="95" t="s">
        <v>197</v>
      </c>
      <c r="E84" s="134" t="s">
        <v>287</v>
      </c>
      <c r="F84" s="98">
        <f t="shared" si="6"/>
        <v>90000</v>
      </c>
      <c r="G84" s="98">
        <v>90000</v>
      </c>
      <c r="H84" s="98"/>
      <c r="I84" s="98"/>
      <c r="J84" s="98"/>
      <c r="K84" s="98"/>
      <c r="L84" s="98"/>
      <c r="M84" s="98"/>
      <c r="N84" s="98"/>
      <c r="O84" s="98"/>
      <c r="P84" s="98"/>
      <c r="Q84" s="98">
        <f t="shared" si="7"/>
        <v>90000</v>
      </c>
    </row>
    <row r="85" spans="1:17" s="83" customFormat="1" ht="30">
      <c r="A85" s="82"/>
      <c r="B85" s="97">
        <v>1513043</v>
      </c>
      <c r="C85" s="99">
        <v>3043</v>
      </c>
      <c r="D85" s="95" t="s">
        <v>197</v>
      </c>
      <c r="E85" s="134" t="s">
        <v>288</v>
      </c>
      <c r="F85" s="98">
        <f t="shared" si="6"/>
        <v>36500000</v>
      </c>
      <c r="G85" s="98">
        <v>36500000</v>
      </c>
      <c r="H85" s="98"/>
      <c r="I85" s="98"/>
      <c r="J85" s="98"/>
      <c r="K85" s="98"/>
      <c r="L85" s="98"/>
      <c r="M85" s="98"/>
      <c r="N85" s="98"/>
      <c r="O85" s="98"/>
      <c r="P85" s="98"/>
      <c r="Q85" s="98">
        <f t="shared" si="7"/>
        <v>36500000</v>
      </c>
    </row>
    <row r="86" spans="1:17" s="83" customFormat="1" ht="30">
      <c r="A86" s="82"/>
      <c r="B86" s="97">
        <v>1513044</v>
      </c>
      <c r="C86" s="99">
        <v>3044</v>
      </c>
      <c r="D86" s="95" t="s">
        <v>197</v>
      </c>
      <c r="E86" s="134" t="s">
        <v>289</v>
      </c>
      <c r="F86" s="98">
        <f t="shared" si="6"/>
        <v>2370000</v>
      </c>
      <c r="G86" s="98">
        <v>2370000</v>
      </c>
      <c r="H86" s="98"/>
      <c r="I86" s="98"/>
      <c r="J86" s="98"/>
      <c r="K86" s="98"/>
      <c r="L86" s="98"/>
      <c r="M86" s="98"/>
      <c r="N86" s="98"/>
      <c r="O86" s="98"/>
      <c r="P86" s="98"/>
      <c r="Q86" s="98">
        <f t="shared" si="7"/>
        <v>2370000</v>
      </c>
    </row>
    <row r="87" spans="1:17" s="83" customFormat="1" ht="30">
      <c r="A87" s="82"/>
      <c r="B87" s="97">
        <v>1513045</v>
      </c>
      <c r="C87" s="99">
        <v>3045</v>
      </c>
      <c r="D87" s="95" t="s">
        <v>197</v>
      </c>
      <c r="E87" s="134" t="s">
        <v>290</v>
      </c>
      <c r="F87" s="98">
        <f t="shared" si="6"/>
        <v>11770000</v>
      </c>
      <c r="G87" s="98">
        <v>11770000</v>
      </c>
      <c r="H87" s="98"/>
      <c r="I87" s="98"/>
      <c r="J87" s="98"/>
      <c r="K87" s="98"/>
      <c r="L87" s="98"/>
      <c r="M87" s="98"/>
      <c r="N87" s="98"/>
      <c r="O87" s="98"/>
      <c r="P87" s="98"/>
      <c r="Q87" s="98">
        <f t="shared" si="7"/>
        <v>11770000</v>
      </c>
    </row>
    <row r="88" spans="1:17" s="83" customFormat="1" ht="30">
      <c r="A88" s="82"/>
      <c r="B88" s="97">
        <v>1513046</v>
      </c>
      <c r="C88" s="99">
        <v>3046</v>
      </c>
      <c r="D88" s="95" t="s">
        <v>197</v>
      </c>
      <c r="E88" s="134" t="s">
        <v>291</v>
      </c>
      <c r="F88" s="98">
        <f t="shared" si="6"/>
        <v>1470000</v>
      </c>
      <c r="G88" s="98">
        <v>1470000</v>
      </c>
      <c r="H88" s="98"/>
      <c r="I88" s="98"/>
      <c r="J88" s="98"/>
      <c r="K88" s="98"/>
      <c r="L88" s="98"/>
      <c r="M88" s="98"/>
      <c r="N88" s="98"/>
      <c r="O88" s="98"/>
      <c r="P88" s="98"/>
      <c r="Q88" s="98">
        <f t="shared" si="7"/>
        <v>1470000</v>
      </c>
    </row>
    <row r="89" spans="1:17" s="83" customFormat="1" ht="30">
      <c r="A89" s="82"/>
      <c r="B89" s="97">
        <v>1513048</v>
      </c>
      <c r="C89" s="99">
        <v>3048</v>
      </c>
      <c r="D89" s="95" t="s">
        <v>197</v>
      </c>
      <c r="E89" s="134" t="s">
        <v>292</v>
      </c>
      <c r="F89" s="98">
        <f t="shared" si="6"/>
        <v>29500000</v>
      </c>
      <c r="G89" s="98">
        <v>29500000</v>
      </c>
      <c r="H89" s="98"/>
      <c r="I89" s="98"/>
      <c r="J89" s="98"/>
      <c r="K89" s="98"/>
      <c r="L89" s="98"/>
      <c r="M89" s="98"/>
      <c r="N89" s="98"/>
      <c r="O89" s="98"/>
      <c r="P89" s="98"/>
      <c r="Q89" s="98">
        <f t="shared" si="7"/>
        <v>29500000</v>
      </c>
    </row>
    <row r="90" spans="1:17" s="83" customFormat="1" ht="42.75" customHeight="1">
      <c r="A90" s="82"/>
      <c r="B90" s="97">
        <v>1513049</v>
      </c>
      <c r="C90" s="99">
        <v>3049</v>
      </c>
      <c r="D90" s="95" t="s">
        <v>297</v>
      </c>
      <c r="E90" s="136" t="s">
        <v>306</v>
      </c>
      <c r="F90" s="98">
        <f t="shared" si="6"/>
        <v>13250000</v>
      </c>
      <c r="G90" s="98">
        <v>13250000</v>
      </c>
      <c r="H90" s="98"/>
      <c r="I90" s="98"/>
      <c r="J90" s="98"/>
      <c r="K90" s="98"/>
      <c r="L90" s="98"/>
      <c r="M90" s="98"/>
      <c r="N90" s="98"/>
      <c r="O90" s="98"/>
      <c r="P90" s="98"/>
      <c r="Q90" s="98">
        <f t="shared" si="7"/>
        <v>13250000</v>
      </c>
    </row>
    <row r="91" spans="1:17" s="83" customFormat="1" ht="45">
      <c r="A91" s="82"/>
      <c r="B91" s="97">
        <v>1513080</v>
      </c>
      <c r="C91" s="99">
        <v>3080</v>
      </c>
      <c r="D91" s="95" t="s">
        <v>297</v>
      </c>
      <c r="E91" s="137" t="s">
        <v>298</v>
      </c>
      <c r="F91" s="98">
        <f>G91</f>
        <v>2150000</v>
      </c>
      <c r="G91" s="98">
        <v>2150000</v>
      </c>
      <c r="H91" s="98"/>
      <c r="I91" s="98"/>
      <c r="J91" s="98"/>
      <c r="K91" s="98"/>
      <c r="L91" s="98"/>
      <c r="M91" s="98"/>
      <c r="N91" s="98"/>
      <c r="O91" s="98"/>
      <c r="P91" s="98"/>
      <c r="Q91" s="98">
        <f>F91</f>
        <v>2150000</v>
      </c>
    </row>
    <row r="92" spans="1:17" s="83" customFormat="1" ht="75">
      <c r="A92" s="82"/>
      <c r="B92" s="97">
        <v>1513100</v>
      </c>
      <c r="C92" s="99">
        <v>3100</v>
      </c>
      <c r="D92" s="95"/>
      <c r="E92" s="137" t="s">
        <v>144</v>
      </c>
      <c r="F92" s="98">
        <f>F93</f>
        <v>4287600</v>
      </c>
      <c r="G92" s="98">
        <f>G93</f>
        <v>4287600</v>
      </c>
      <c r="H92" s="98"/>
      <c r="I92" s="98"/>
      <c r="J92" s="98"/>
      <c r="K92" s="98"/>
      <c r="L92" s="98"/>
      <c r="M92" s="98"/>
      <c r="N92" s="98"/>
      <c r="O92" s="98"/>
      <c r="P92" s="98"/>
      <c r="Q92" s="98">
        <f>Q93</f>
        <v>4358600</v>
      </c>
    </row>
    <row r="93" spans="1:17" s="83" customFormat="1" ht="75">
      <c r="A93" s="82"/>
      <c r="B93" s="97">
        <v>1513104</v>
      </c>
      <c r="C93" s="99">
        <v>3104</v>
      </c>
      <c r="D93" s="95" t="s">
        <v>299</v>
      </c>
      <c r="E93" s="137" t="s">
        <v>302</v>
      </c>
      <c r="F93" s="98">
        <f aca="true" t="shared" si="8" ref="F93:F101">G93</f>
        <v>4287600</v>
      </c>
      <c r="G93" s="98">
        <f>H93+I93+645340+123900+20000+10000-20000+72000</f>
        <v>4287600</v>
      </c>
      <c r="H93" s="98">
        <f>2933360+328000</f>
        <v>3261360</v>
      </c>
      <c r="I93" s="98">
        <f>185000-10000</f>
        <v>175000</v>
      </c>
      <c r="J93" s="98"/>
      <c r="K93" s="98">
        <f>51000+O93</f>
        <v>71000</v>
      </c>
      <c r="L93" s="98">
        <v>51000</v>
      </c>
      <c r="M93" s="98"/>
      <c r="N93" s="98"/>
      <c r="O93" s="98">
        <f>P93</f>
        <v>20000</v>
      </c>
      <c r="P93" s="98">
        <v>20000</v>
      </c>
      <c r="Q93" s="98">
        <f>F93+K93</f>
        <v>4358600</v>
      </c>
    </row>
    <row r="94" spans="1:17" s="83" customFormat="1" ht="105">
      <c r="A94" s="82"/>
      <c r="B94" s="97">
        <v>1513180</v>
      </c>
      <c r="C94" s="99">
        <v>3180</v>
      </c>
      <c r="D94" s="95"/>
      <c r="E94" s="137" t="s">
        <v>145</v>
      </c>
      <c r="F94" s="98">
        <f>F95</f>
        <v>100000</v>
      </c>
      <c r="G94" s="98">
        <f>G95</f>
        <v>100000</v>
      </c>
      <c r="H94" s="98"/>
      <c r="I94" s="98"/>
      <c r="J94" s="98"/>
      <c r="K94" s="98"/>
      <c r="L94" s="98"/>
      <c r="M94" s="98"/>
      <c r="N94" s="98"/>
      <c r="O94" s="98"/>
      <c r="P94" s="98"/>
      <c r="Q94" s="98">
        <f>Q95</f>
        <v>100000</v>
      </c>
    </row>
    <row r="95" spans="1:17" s="83" customFormat="1" ht="90">
      <c r="A95" s="82"/>
      <c r="B95" s="97">
        <v>1513181</v>
      </c>
      <c r="C95" s="99">
        <v>3181</v>
      </c>
      <c r="D95" s="95" t="s">
        <v>297</v>
      </c>
      <c r="E95" s="137" t="s">
        <v>265</v>
      </c>
      <c r="F95" s="98">
        <f t="shared" si="8"/>
        <v>100000</v>
      </c>
      <c r="G95" s="98">
        <v>100000</v>
      </c>
      <c r="H95" s="98"/>
      <c r="I95" s="98"/>
      <c r="J95" s="98"/>
      <c r="K95" s="98"/>
      <c r="L95" s="98"/>
      <c r="M95" s="98"/>
      <c r="N95" s="98"/>
      <c r="O95" s="98"/>
      <c r="P95" s="98"/>
      <c r="Q95" s="98">
        <f aca="true" t="shared" si="9" ref="Q95:Q101">F95</f>
        <v>100000</v>
      </c>
    </row>
    <row r="96" spans="1:17" s="83" customFormat="1" ht="30" hidden="1">
      <c r="A96" s="82"/>
      <c r="B96" s="97">
        <v>1513105</v>
      </c>
      <c r="C96" s="99">
        <v>3105</v>
      </c>
      <c r="D96" s="95" t="s">
        <v>297</v>
      </c>
      <c r="E96" s="137" t="s">
        <v>303</v>
      </c>
      <c r="F96" s="98">
        <f t="shared" si="8"/>
        <v>0</v>
      </c>
      <c r="G96" s="98">
        <v>0</v>
      </c>
      <c r="H96" s="98"/>
      <c r="I96" s="98"/>
      <c r="J96" s="98"/>
      <c r="K96" s="98"/>
      <c r="L96" s="98"/>
      <c r="M96" s="98"/>
      <c r="N96" s="98"/>
      <c r="O96" s="98"/>
      <c r="P96" s="98"/>
      <c r="Q96" s="98">
        <f t="shared" si="9"/>
        <v>0</v>
      </c>
    </row>
    <row r="97" spans="1:17" s="83" customFormat="1" ht="109.5" customHeight="1">
      <c r="A97" s="82"/>
      <c r="B97" s="97">
        <v>1513190</v>
      </c>
      <c r="C97" s="99">
        <v>3190</v>
      </c>
      <c r="D97" s="95" t="s">
        <v>108</v>
      </c>
      <c r="E97" s="136" t="s">
        <v>266</v>
      </c>
      <c r="F97" s="98">
        <f t="shared" si="8"/>
        <v>33000</v>
      </c>
      <c r="G97" s="98">
        <f>40000-7000</f>
        <v>33000</v>
      </c>
      <c r="H97" s="98"/>
      <c r="I97" s="98"/>
      <c r="J97" s="98"/>
      <c r="K97" s="98"/>
      <c r="L97" s="98"/>
      <c r="M97" s="98"/>
      <c r="N97" s="98"/>
      <c r="O97" s="98"/>
      <c r="P97" s="98"/>
      <c r="Q97" s="98">
        <f t="shared" si="9"/>
        <v>33000</v>
      </c>
    </row>
    <row r="98" spans="1:17" s="83" customFormat="1" ht="34.5" customHeight="1">
      <c r="A98" s="82"/>
      <c r="B98" s="97">
        <v>1513200</v>
      </c>
      <c r="C98" s="99">
        <v>3200</v>
      </c>
      <c r="D98" s="95"/>
      <c r="E98" s="136" t="s">
        <v>146</v>
      </c>
      <c r="F98" s="98">
        <f>F99</f>
        <v>63500</v>
      </c>
      <c r="G98" s="98">
        <f>G99</f>
        <v>63500</v>
      </c>
      <c r="H98" s="98"/>
      <c r="I98" s="98"/>
      <c r="J98" s="98"/>
      <c r="K98" s="98"/>
      <c r="L98" s="98"/>
      <c r="M98" s="98"/>
      <c r="N98" s="98"/>
      <c r="O98" s="98"/>
      <c r="P98" s="98"/>
      <c r="Q98" s="98">
        <f>Q99</f>
        <v>63500</v>
      </c>
    </row>
    <row r="99" spans="1:17" s="83" customFormat="1" ht="64.5" customHeight="1">
      <c r="A99" s="82"/>
      <c r="B99" s="97">
        <v>1513202</v>
      </c>
      <c r="C99" s="99">
        <v>3202</v>
      </c>
      <c r="D99" s="95" t="s">
        <v>207</v>
      </c>
      <c r="E99" s="136" t="s">
        <v>304</v>
      </c>
      <c r="F99" s="98">
        <f t="shared" si="8"/>
        <v>63500</v>
      </c>
      <c r="G99" s="98">
        <v>63500</v>
      </c>
      <c r="H99" s="98"/>
      <c r="I99" s="98"/>
      <c r="J99" s="98"/>
      <c r="K99" s="98"/>
      <c r="L99" s="98"/>
      <c r="M99" s="98"/>
      <c r="N99" s="98"/>
      <c r="O99" s="98"/>
      <c r="P99" s="98"/>
      <c r="Q99" s="98">
        <f t="shared" si="9"/>
        <v>63500</v>
      </c>
    </row>
    <row r="100" spans="1:17" s="83" customFormat="1" ht="23.25" customHeight="1">
      <c r="A100" s="82"/>
      <c r="B100" s="97">
        <v>1513300</v>
      </c>
      <c r="C100" s="99">
        <v>3300</v>
      </c>
      <c r="D100" s="95" t="s">
        <v>295</v>
      </c>
      <c r="E100" s="136" t="s">
        <v>305</v>
      </c>
      <c r="F100" s="98">
        <f t="shared" si="8"/>
        <v>46800</v>
      </c>
      <c r="G100" s="98">
        <v>46800</v>
      </c>
      <c r="H100" s="98"/>
      <c r="I100" s="98"/>
      <c r="J100" s="98"/>
      <c r="K100" s="98"/>
      <c r="L100" s="98"/>
      <c r="M100" s="98"/>
      <c r="N100" s="98"/>
      <c r="O100" s="98"/>
      <c r="P100" s="98"/>
      <c r="Q100" s="98">
        <f t="shared" si="9"/>
        <v>46800</v>
      </c>
    </row>
    <row r="101" spans="1:17" s="83" customFormat="1" ht="30">
      <c r="A101" s="82"/>
      <c r="B101" s="97">
        <v>1513400</v>
      </c>
      <c r="C101" s="99">
        <v>3400</v>
      </c>
      <c r="D101" s="95" t="s">
        <v>295</v>
      </c>
      <c r="E101" s="136" t="s">
        <v>296</v>
      </c>
      <c r="F101" s="98">
        <f t="shared" si="8"/>
        <v>559600</v>
      </c>
      <c r="G101" s="98">
        <f>450000+100000+9600</f>
        <v>559600</v>
      </c>
      <c r="H101" s="98"/>
      <c r="I101" s="98"/>
      <c r="J101" s="98"/>
      <c r="K101" s="98"/>
      <c r="L101" s="98"/>
      <c r="M101" s="98"/>
      <c r="N101" s="98"/>
      <c r="O101" s="98"/>
      <c r="P101" s="98"/>
      <c r="Q101" s="98">
        <f t="shared" si="9"/>
        <v>559600</v>
      </c>
    </row>
    <row r="102" spans="1:17" s="132" customFormat="1" ht="45" customHeight="1">
      <c r="A102" s="131"/>
      <c r="B102" s="97">
        <v>2000000</v>
      </c>
      <c r="C102" s="97"/>
      <c r="D102" s="90"/>
      <c r="E102" s="140" t="s">
        <v>309</v>
      </c>
      <c r="F102" s="94">
        <f>F103</f>
        <v>30000</v>
      </c>
      <c r="G102" s="94">
        <f>G103</f>
        <v>30000</v>
      </c>
      <c r="H102" s="94"/>
      <c r="I102" s="94"/>
      <c r="J102" s="94"/>
      <c r="K102" s="94">
        <f>K103</f>
        <v>400000</v>
      </c>
      <c r="L102" s="94"/>
      <c r="M102" s="94"/>
      <c r="N102" s="94"/>
      <c r="O102" s="94">
        <f>O103</f>
        <v>400000</v>
      </c>
      <c r="P102" s="94">
        <f>P103</f>
        <v>400000</v>
      </c>
      <c r="Q102" s="94">
        <f>Q103</f>
        <v>430000</v>
      </c>
    </row>
    <row r="103" spans="1:17" s="132" customFormat="1" ht="48" customHeight="1">
      <c r="A103" s="131"/>
      <c r="B103" s="97">
        <v>2010000</v>
      </c>
      <c r="C103" s="97"/>
      <c r="D103" s="90"/>
      <c r="E103" s="140" t="s">
        <v>309</v>
      </c>
      <c r="F103" s="94">
        <f>F105</f>
        <v>30000</v>
      </c>
      <c r="G103" s="94">
        <f>G105</f>
        <v>30000</v>
      </c>
      <c r="H103" s="94"/>
      <c r="I103" s="94"/>
      <c r="J103" s="94"/>
      <c r="K103" s="94">
        <f>K105</f>
        <v>400000</v>
      </c>
      <c r="L103" s="94"/>
      <c r="M103" s="94"/>
      <c r="N103" s="94"/>
      <c r="O103" s="94">
        <f>O105</f>
        <v>400000</v>
      </c>
      <c r="P103" s="94">
        <f>P105</f>
        <v>400000</v>
      </c>
      <c r="Q103" s="94">
        <f>Q104</f>
        <v>430000</v>
      </c>
    </row>
    <row r="104" spans="1:17" s="83" customFormat="1" ht="30.75" customHeight="1">
      <c r="A104" s="82"/>
      <c r="B104" s="97">
        <v>2013110</v>
      </c>
      <c r="C104" s="99">
        <v>3110</v>
      </c>
      <c r="D104" s="95"/>
      <c r="E104" s="139" t="s">
        <v>22</v>
      </c>
      <c r="F104" s="98">
        <f>F105</f>
        <v>30000</v>
      </c>
      <c r="G104" s="98">
        <f>G105</f>
        <v>30000</v>
      </c>
      <c r="H104" s="98"/>
      <c r="I104" s="98"/>
      <c r="J104" s="98"/>
      <c r="K104" s="98">
        <f>K105</f>
        <v>400000</v>
      </c>
      <c r="L104" s="98"/>
      <c r="M104" s="98"/>
      <c r="N104" s="98"/>
      <c r="O104" s="98">
        <f>O105</f>
        <v>400000</v>
      </c>
      <c r="P104" s="98">
        <f>P105</f>
        <v>400000</v>
      </c>
      <c r="Q104" s="98">
        <f>Q105</f>
        <v>430000</v>
      </c>
    </row>
    <row r="105" spans="1:17" s="83" customFormat="1" ht="33" customHeight="1">
      <c r="A105" s="82"/>
      <c r="B105" s="97">
        <v>2013112</v>
      </c>
      <c r="C105" s="99">
        <v>3112</v>
      </c>
      <c r="D105" s="95" t="s">
        <v>197</v>
      </c>
      <c r="E105" s="139" t="s">
        <v>336</v>
      </c>
      <c r="F105" s="98">
        <v>30000</v>
      </c>
      <c r="G105" s="98">
        <v>30000</v>
      </c>
      <c r="H105" s="98"/>
      <c r="I105" s="98"/>
      <c r="J105" s="98"/>
      <c r="K105" s="98">
        <f>200000+200000</f>
        <v>400000</v>
      </c>
      <c r="L105" s="98"/>
      <c r="M105" s="98"/>
      <c r="N105" s="98"/>
      <c r="O105" s="98">
        <f>200000+200000</f>
        <v>400000</v>
      </c>
      <c r="P105" s="98">
        <f>200000+200000</f>
        <v>400000</v>
      </c>
      <c r="Q105" s="98">
        <f>K105+F105</f>
        <v>430000</v>
      </c>
    </row>
    <row r="106" spans="1:17" s="132" customFormat="1" ht="28.5" customHeight="1">
      <c r="A106" s="131"/>
      <c r="B106" s="97">
        <v>2400000</v>
      </c>
      <c r="C106" s="97"/>
      <c r="D106" s="90"/>
      <c r="E106" s="140" t="s">
        <v>310</v>
      </c>
      <c r="F106" s="94">
        <f>F107</f>
        <v>2303500</v>
      </c>
      <c r="G106" s="94">
        <f>G107</f>
        <v>2303500</v>
      </c>
      <c r="H106" s="94">
        <f>H107</f>
        <v>1591040</v>
      </c>
      <c r="I106" s="94">
        <f>I107</f>
        <v>182500</v>
      </c>
      <c r="J106" s="94"/>
      <c r="K106" s="94">
        <f>K107</f>
        <v>20000</v>
      </c>
      <c r="L106" s="94">
        <f>L107</f>
        <v>20000</v>
      </c>
      <c r="M106" s="94"/>
      <c r="N106" s="94">
        <f>N107</f>
        <v>2500</v>
      </c>
      <c r="O106" s="94">
        <f>O107</f>
        <v>0</v>
      </c>
      <c r="P106" s="94">
        <f>P107</f>
        <v>0</v>
      </c>
      <c r="Q106" s="94">
        <f>Q107</f>
        <v>2323500</v>
      </c>
    </row>
    <row r="107" spans="1:17" s="132" customFormat="1" ht="28.5" customHeight="1">
      <c r="A107" s="131"/>
      <c r="B107" s="97">
        <v>2410000</v>
      </c>
      <c r="C107" s="97"/>
      <c r="D107" s="90"/>
      <c r="E107" s="140" t="s">
        <v>310</v>
      </c>
      <c r="F107" s="94">
        <f>F108+F109+F110</f>
        <v>2303500</v>
      </c>
      <c r="G107" s="94">
        <f>G108+G109+G110</f>
        <v>2303500</v>
      </c>
      <c r="H107" s="94">
        <f>H108+H109+H110</f>
        <v>1591040</v>
      </c>
      <c r="I107" s="94">
        <f>I108+I109+I110</f>
        <v>182500</v>
      </c>
      <c r="J107" s="94"/>
      <c r="K107" s="94">
        <f>K108+K109+K110</f>
        <v>20000</v>
      </c>
      <c r="L107" s="94">
        <f>L108+L109+L110</f>
        <v>20000</v>
      </c>
      <c r="M107" s="94"/>
      <c r="N107" s="94">
        <f>N109+N110+N108</f>
        <v>2500</v>
      </c>
      <c r="O107" s="94">
        <f>O110</f>
        <v>0</v>
      </c>
      <c r="P107" s="94">
        <f>P110</f>
        <v>0</v>
      </c>
      <c r="Q107" s="94">
        <f>Q108+Q109+Q110</f>
        <v>2323500</v>
      </c>
    </row>
    <row r="108" spans="1:17" s="83" customFormat="1" ht="28.5" customHeight="1">
      <c r="A108" s="82"/>
      <c r="B108" s="97">
        <v>2414060</v>
      </c>
      <c r="C108" s="99">
        <v>4060</v>
      </c>
      <c r="D108" s="95" t="s">
        <v>507</v>
      </c>
      <c r="E108" s="139" t="s">
        <v>311</v>
      </c>
      <c r="F108" s="98">
        <f>G108</f>
        <v>1027350</v>
      </c>
      <c r="G108" s="98">
        <f>H108+I108+154955+67500</f>
        <v>1027350</v>
      </c>
      <c r="H108" s="98">
        <v>704345</v>
      </c>
      <c r="I108" s="98">
        <v>100550</v>
      </c>
      <c r="J108" s="98"/>
      <c r="K108" s="98">
        <v>16300</v>
      </c>
      <c r="L108" s="98">
        <v>16300</v>
      </c>
      <c r="M108" s="98"/>
      <c r="N108" s="98">
        <v>1800</v>
      </c>
      <c r="O108" s="98"/>
      <c r="P108" s="98"/>
      <c r="Q108" s="98">
        <f>F108+K108</f>
        <v>1043650</v>
      </c>
    </row>
    <row r="109" spans="1:17" s="83" customFormat="1" ht="28.5" customHeight="1">
      <c r="A109" s="82"/>
      <c r="B109" s="97">
        <v>2414090</v>
      </c>
      <c r="C109" s="99">
        <v>4090</v>
      </c>
      <c r="D109" s="95" t="s">
        <v>312</v>
      </c>
      <c r="E109" s="139" t="s">
        <v>313</v>
      </c>
      <c r="F109" s="98">
        <f>G109</f>
        <v>505245</v>
      </c>
      <c r="G109" s="98">
        <f>H109+I109+79550+9910</f>
        <v>505245</v>
      </c>
      <c r="H109" s="98">
        <v>361585</v>
      </c>
      <c r="I109" s="98">
        <v>54200</v>
      </c>
      <c r="J109" s="98"/>
      <c r="K109" s="98">
        <v>2700</v>
      </c>
      <c r="L109" s="98">
        <v>2700</v>
      </c>
      <c r="M109" s="98"/>
      <c r="N109" s="98">
        <v>700</v>
      </c>
      <c r="O109" s="98"/>
      <c r="P109" s="98"/>
      <c r="Q109" s="98">
        <f>F109+K109</f>
        <v>507945</v>
      </c>
    </row>
    <row r="110" spans="1:17" s="83" customFormat="1" ht="28.5" customHeight="1">
      <c r="A110" s="82"/>
      <c r="B110" s="97">
        <v>2414200</v>
      </c>
      <c r="C110" s="99">
        <v>4200</v>
      </c>
      <c r="D110" s="95" t="s">
        <v>314</v>
      </c>
      <c r="E110" s="139" t="s">
        <v>350</v>
      </c>
      <c r="F110" s="98">
        <f>G110</f>
        <v>770905</v>
      </c>
      <c r="G110" s="98">
        <f>H110+I110+115520+92525+10000</f>
        <v>770905</v>
      </c>
      <c r="H110" s="98">
        <v>525110</v>
      </c>
      <c r="I110" s="98">
        <v>27750</v>
      </c>
      <c r="J110" s="98"/>
      <c r="K110" s="98">
        <f>L110+O110</f>
        <v>1000</v>
      </c>
      <c r="L110" s="98">
        <v>1000</v>
      </c>
      <c r="M110" s="98"/>
      <c r="N110" s="98"/>
      <c r="O110" s="98"/>
      <c r="P110" s="98"/>
      <c r="Q110" s="98">
        <f>F110+K110</f>
        <v>771905</v>
      </c>
    </row>
    <row r="111" spans="1:17" s="132" customFormat="1" ht="51.75" customHeight="1" hidden="1">
      <c r="A111" s="131"/>
      <c r="B111" s="97"/>
      <c r="C111" s="97"/>
      <c r="D111" s="90"/>
      <c r="E111" s="140" t="s">
        <v>340</v>
      </c>
      <c r="F111" s="94">
        <f>F112</f>
        <v>0</v>
      </c>
      <c r="G111" s="94">
        <f>G112</f>
        <v>0</v>
      </c>
      <c r="H111" s="94"/>
      <c r="I111" s="94"/>
      <c r="J111" s="94"/>
      <c r="K111" s="94"/>
      <c r="L111" s="94"/>
      <c r="M111" s="94"/>
      <c r="N111" s="94"/>
      <c r="O111" s="94"/>
      <c r="P111" s="94"/>
      <c r="Q111" s="94">
        <f>Q112</f>
        <v>0</v>
      </c>
    </row>
    <row r="112" spans="1:17" s="132" customFormat="1" ht="51.75" customHeight="1" hidden="1">
      <c r="A112" s="131"/>
      <c r="B112" s="97"/>
      <c r="C112" s="97"/>
      <c r="D112" s="90"/>
      <c r="E112" s="140" t="s">
        <v>340</v>
      </c>
      <c r="F112" s="94">
        <f>F113</f>
        <v>0</v>
      </c>
      <c r="G112" s="94">
        <f>G113</f>
        <v>0</v>
      </c>
      <c r="H112" s="94"/>
      <c r="I112" s="94"/>
      <c r="J112" s="94"/>
      <c r="K112" s="94"/>
      <c r="L112" s="94"/>
      <c r="M112" s="94"/>
      <c r="N112" s="94"/>
      <c r="O112" s="94"/>
      <c r="P112" s="94"/>
      <c r="Q112" s="94">
        <f>Q113</f>
        <v>0</v>
      </c>
    </row>
    <row r="113" spans="1:17" s="83" customFormat="1" ht="26.25" customHeight="1" hidden="1">
      <c r="A113" s="82"/>
      <c r="B113" s="97"/>
      <c r="C113" s="99">
        <v>8600</v>
      </c>
      <c r="D113" s="95" t="s">
        <v>180</v>
      </c>
      <c r="E113" s="140" t="s">
        <v>181</v>
      </c>
      <c r="F113" s="98"/>
      <c r="G113" s="98"/>
      <c r="H113" s="98"/>
      <c r="I113" s="98"/>
      <c r="J113" s="98"/>
      <c r="K113" s="98"/>
      <c r="L113" s="98"/>
      <c r="M113" s="98"/>
      <c r="N113" s="98"/>
      <c r="O113" s="98"/>
      <c r="P113" s="98"/>
      <c r="Q113" s="98"/>
    </row>
    <row r="114" spans="1:17" s="389" customFormat="1" ht="29.25" customHeight="1">
      <c r="A114" s="388"/>
      <c r="B114" s="97">
        <v>2900000</v>
      </c>
      <c r="C114" s="97"/>
      <c r="D114" s="90"/>
      <c r="E114" s="140" t="s">
        <v>556</v>
      </c>
      <c r="F114" s="94">
        <f>F116</f>
        <v>1500</v>
      </c>
      <c r="G114" s="94">
        <f>G115</f>
        <v>1500</v>
      </c>
      <c r="H114" s="94"/>
      <c r="I114" s="94"/>
      <c r="J114" s="94"/>
      <c r="K114" s="94"/>
      <c r="L114" s="94"/>
      <c r="M114" s="94"/>
      <c r="N114" s="94"/>
      <c r="O114" s="94"/>
      <c r="P114" s="94"/>
      <c r="Q114" s="94">
        <f>Q115</f>
        <v>1500</v>
      </c>
    </row>
    <row r="115" spans="1:17" s="389" customFormat="1" ht="29.25" customHeight="1">
      <c r="A115" s="388"/>
      <c r="B115" s="97">
        <v>2910000</v>
      </c>
      <c r="C115" s="97"/>
      <c r="D115" s="90"/>
      <c r="E115" s="140" t="s">
        <v>556</v>
      </c>
      <c r="F115" s="94">
        <f>F116</f>
        <v>1500</v>
      </c>
      <c r="G115" s="94">
        <f>G116</f>
        <v>1500</v>
      </c>
      <c r="H115" s="94"/>
      <c r="I115" s="94"/>
      <c r="J115" s="94"/>
      <c r="K115" s="94"/>
      <c r="L115" s="94"/>
      <c r="M115" s="94"/>
      <c r="N115" s="94"/>
      <c r="O115" s="94"/>
      <c r="P115" s="94"/>
      <c r="Q115" s="94">
        <f>Q116</f>
        <v>1500</v>
      </c>
    </row>
    <row r="116" spans="1:17" s="83" customFormat="1" ht="29.25" customHeight="1">
      <c r="A116" s="82"/>
      <c r="B116" s="97">
        <v>2918600</v>
      </c>
      <c r="C116" s="99">
        <v>8600</v>
      </c>
      <c r="D116" s="95" t="s">
        <v>180</v>
      </c>
      <c r="E116" s="139" t="s">
        <v>181</v>
      </c>
      <c r="F116" s="98">
        <f>G116</f>
        <v>1500</v>
      </c>
      <c r="G116" s="98">
        <v>1500</v>
      </c>
      <c r="H116" s="98"/>
      <c r="I116" s="98"/>
      <c r="J116" s="98"/>
      <c r="K116" s="98"/>
      <c r="L116" s="98"/>
      <c r="M116" s="98"/>
      <c r="N116" s="98"/>
      <c r="O116" s="98"/>
      <c r="P116" s="98"/>
      <c r="Q116" s="98">
        <f>G116</f>
        <v>1500</v>
      </c>
    </row>
    <row r="117" spans="1:17" s="389" customFormat="1" ht="48" customHeight="1" hidden="1">
      <c r="A117" s="388"/>
      <c r="B117" s="97">
        <v>5300000</v>
      </c>
      <c r="C117" s="97"/>
      <c r="D117" s="90"/>
      <c r="E117" s="140" t="s">
        <v>340</v>
      </c>
      <c r="F117" s="94">
        <f>F118</f>
        <v>0</v>
      </c>
      <c r="G117" s="94">
        <f>G118</f>
        <v>0</v>
      </c>
      <c r="H117" s="94"/>
      <c r="I117" s="94"/>
      <c r="J117" s="94"/>
      <c r="K117" s="94"/>
      <c r="L117" s="94"/>
      <c r="M117" s="94"/>
      <c r="N117" s="94"/>
      <c r="O117" s="94"/>
      <c r="P117" s="94"/>
      <c r="Q117" s="94">
        <f>Q118</f>
        <v>0</v>
      </c>
    </row>
    <row r="118" spans="1:17" s="389" customFormat="1" ht="48" customHeight="1" hidden="1">
      <c r="A118" s="388"/>
      <c r="B118" s="97">
        <v>5310000</v>
      </c>
      <c r="C118" s="97"/>
      <c r="D118" s="90"/>
      <c r="E118" s="140" t="s">
        <v>340</v>
      </c>
      <c r="F118" s="94">
        <f>F119</f>
        <v>0</v>
      </c>
      <c r="G118" s="94">
        <f>G119</f>
        <v>0</v>
      </c>
      <c r="H118" s="94"/>
      <c r="I118" s="94"/>
      <c r="J118" s="94"/>
      <c r="K118" s="94"/>
      <c r="L118" s="94"/>
      <c r="M118" s="94"/>
      <c r="N118" s="94"/>
      <c r="O118" s="94"/>
      <c r="P118" s="94"/>
      <c r="Q118" s="94">
        <f>Q119</f>
        <v>0</v>
      </c>
    </row>
    <row r="119" spans="1:17" s="83" customFormat="1" ht="48" customHeight="1" hidden="1">
      <c r="A119" s="82"/>
      <c r="B119" s="97">
        <v>5318600</v>
      </c>
      <c r="C119" s="99">
        <v>8600</v>
      </c>
      <c r="D119" s="95" t="s">
        <v>180</v>
      </c>
      <c r="E119" s="139" t="s">
        <v>181</v>
      </c>
      <c r="F119" s="98">
        <v>0</v>
      </c>
      <c r="G119" s="98">
        <v>0</v>
      </c>
      <c r="H119" s="98"/>
      <c r="I119" s="98"/>
      <c r="J119" s="98"/>
      <c r="K119" s="98"/>
      <c r="L119" s="98"/>
      <c r="M119" s="98"/>
      <c r="N119" s="98"/>
      <c r="O119" s="98"/>
      <c r="P119" s="98"/>
      <c r="Q119" s="98">
        <f>G119</f>
        <v>0</v>
      </c>
    </row>
    <row r="120" spans="1:17" s="132" customFormat="1" ht="49.5" customHeight="1">
      <c r="A120" s="131"/>
      <c r="B120" s="97">
        <v>7500000</v>
      </c>
      <c r="C120" s="97"/>
      <c r="D120" s="90"/>
      <c r="E120" s="140" t="s">
        <v>315</v>
      </c>
      <c r="F120" s="94">
        <f>F121</f>
        <v>41133009</v>
      </c>
      <c r="G120" s="94">
        <f>G121</f>
        <v>41083009</v>
      </c>
      <c r="H120" s="94"/>
      <c r="I120" s="94"/>
      <c r="J120" s="94"/>
      <c r="K120" s="94">
        <f>K121</f>
        <v>1888420.2</v>
      </c>
      <c r="L120" s="94"/>
      <c r="M120" s="94"/>
      <c r="N120" s="94"/>
      <c r="O120" s="94">
        <f>O121</f>
        <v>1888420.2</v>
      </c>
      <c r="P120" s="94">
        <f>P121</f>
        <v>1870458</v>
      </c>
      <c r="Q120" s="94">
        <f>Q121</f>
        <v>43021429.2</v>
      </c>
    </row>
    <row r="121" spans="1:17" s="132" customFormat="1" ht="49.5" customHeight="1">
      <c r="A121" s="131"/>
      <c r="B121" s="97">
        <v>7510000</v>
      </c>
      <c r="C121" s="97"/>
      <c r="D121" s="90"/>
      <c r="E121" s="140" t="s">
        <v>315</v>
      </c>
      <c r="F121" s="94">
        <f>F122+F123+F125+F126+F124+F127+F128</f>
        <v>41133009</v>
      </c>
      <c r="G121" s="94">
        <f>G123+G125+G126+G124+G127+G128</f>
        <v>41083009</v>
      </c>
      <c r="H121" s="94"/>
      <c r="I121" s="94"/>
      <c r="J121" s="94"/>
      <c r="K121" s="94">
        <f>K125+K124</f>
        <v>1888420.2</v>
      </c>
      <c r="L121" s="94"/>
      <c r="M121" s="94"/>
      <c r="N121" s="94"/>
      <c r="O121" s="94">
        <f>O125+O124</f>
        <v>1888420.2</v>
      </c>
      <c r="P121" s="94">
        <f>P125+P124</f>
        <v>1870458</v>
      </c>
      <c r="Q121" s="94">
        <f>Q122+Q123+Q125+Q126+Q124+Q127+Q128</f>
        <v>43021429.2</v>
      </c>
    </row>
    <row r="122" spans="1:17" s="83" customFormat="1" ht="23.25" customHeight="1">
      <c r="A122" s="82"/>
      <c r="B122" s="97">
        <v>7518010</v>
      </c>
      <c r="C122" s="99">
        <v>8010</v>
      </c>
      <c r="D122" s="95" t="s">
        <v>180</v>
      </c>
      <c r="E122" s="139" t="s">
        <v>316</v>
      </c>
      <c r="F122" s="98">
        <v>50000</v>
      </c>
      <c r="G122" s="98"/>
      <c r="H122" s="98"/>
      <c r="I122" s="98"/>
      <c r="J122" s="98"/>
      <c r="K122" s="98"/>
      <c r="L122" s="98"/>
      <c r="M122" s="98"/>
      <c r="N122" s="98"/>
      <c r="O122" s="98"/>
      <c r="P122" s="98"/>
      <c r="Q122" s="98">
        <f>F122</f>
        <v>50000</v>
      </c>
    </row>
    <row r="123" spans="1:17" s="83" customFormat="1" ht="77.25" customHeight="1">
      <c r="A123" s="82"/>
      <c r="B123" s="97">
        <v>7518680</v>
      </c>
      <c r="C123" s="99">
        <v>8680</v>
      </c>
      <c r="D123" s="95" t="s">
        <v>317</v>
      </c>
      <c r="E123" s="141" t="s">
        <v>479</v>
      </c>
      <c r="F123" s="98">
        <f aca="true" t="shared" si="10" ref="F123:F128">G123</f>
        <v>1723867</v>
      </c>
      <c r="G123" s="98">
        <v>1723867</v>
      </c>
      <c r="H123" s="98"/>
      <c r="I123" s="98"/>
      <c r="J123" s="98"/>
      <c r="K123" s="98"/>
      <c r="L123" s="98"/>
      <c r="M123" s="98"/>
      <c r="N123" s="98"/>
      <c r="O123" s="98"/>
      <c r="P123" s="98"/>
      <c r="Q123" s="98">
        <f>F123</f>
        <v>1723867</v>
      </c>
    </row>
    <row r="124" spans="1:17" s="83" customFormat="1" ht="59.25" customHeight="1">
      <c r="A124" s="82"/>
      <c r="B124" s="97">
        <v>7518290</v>
      </c>
      <c r="C124" s="99">
        <v>8290</v>
      </c>
      <c r="D124" s="95" t="s">
        <v>317</v>
      </c>
      <c r="E124" s="141" t="s">
        <v>325</v>
      </c>
      <c r="F124" s="98">
        <f t="shared" si="10"/>
        <v>586133</v>
      </c>
      <c r="G124" s="98">
        <f>306133+20000+50000+150000+50000+10000</f>
        <v>586133</v>
      </c>
      <c r="H124" s="98"/>
      <c r="I124" s="98"/>
      <c r="J124" s="98"/>
      <c r="K124" s="98">
        <f>O124</f>
        <v>660000</v>
      </c>
      <c r="L124" s="98"/>
      <c r="M124" s="98"/>
      <c r="N124" s="98"/>
      <c r="O124" s="98">
        <f>P124</f>
        <v>660000</v>
      </c>
      <c r="P124" s="98">
        <f>530000+80000+50000</f>
        <v>660000</v>
      </c>
      <c r="Q124" s="98">
        <f>F124+K124</f>
        <v>1246133</v>
      </c>
    </row>
    <row r="125" spans="1:17" s="83" customFormat="1" ht="21" customHeight="1">
      <c r="A125" s="82"/>
      <c r="B125" s="97">
        <v>7518800</v>
      </c>
      <c r="C125" s="99">
        <v>8800</v>
      </c>
      <c r="D125" s="95" t="s">
        <v>317</v>
      </c>
      <c r="E125" s="141" t="s">
        <v>319</v>
      </c>
      <c r="F125" s="98">
        <f t="shared" si="10"/>
        <v>16933100</v>
      </c>
      <c r="G125" s="98">
        <f>707100+5026300+9905100+900000+270000+20000+7600+20000+20000+4000+3000+50000</f>
        <v>16933100</v>
      </c>
      <c r="H125" s="98"/>
      <c r="I125" s="98"/>
      <c r="J125" s="98"/>
      <c r="K125" s="98">
        <f>480000+17962.2+75000+150000+20000+263000+10000+150000+62458</f>
        <v>1228420.2</v>
      </c>
      <c r="L125" s="98"/>
      <c r="M125" s="98"/>
      <c r="N125" s="98"/>
      <c r="O125" s="98">
        <f>480000+17962.2+75000+150000+20000+263000+10000+150000+62458</f>
        <v>1228420.2</v>
      </c>
      <c r="P125" s="98">
        <f>480000+75000+263000+150000+20000+10000+150000+62458</f>
        <v>1210458</v>
      </c>
      <c r="Q125" s="98">
        <f>F125+K125</f>
        <v>18161520.2</v>
      </c>
    </row>
    <row r="126" spans="1:17" s="83" customFormat="1" ht="28.5" customHeight="1">
      <c r="A126" s="82"/>
      <c r="B126" s="97">
        <v>7518390</v>
      </c>
      <c r="C126" s="99">
        <v>8390</v>
      </c>
      <c r="D126" s="95" t="s">
        <v>317</v>
      </c>
      <c r="E126" s="141" t="s">
        <v>176</v>
      </c>
      <c r="F126" s="98">
        <f t="shared" si="10"/>
        <v>18157009</v>
      </c>
      <c r="G126" s="98">
        <f>17752000+405009</f>
        <v>18157009</v>
      </c>
      <c r="H126" s="98"/>
      <c r="I126" s="98"/>
      <c r="J126" s="98"/>
      <c r="K126" s="98"/>
      <c r="L126" s="98"/>
      <c r="M126" s="98"/>
      <c r="N126" s="98"/>
      <c r="O126" s="98"/>
      <c r="P126" s="98"/>
      <c r="Q126" s="98">
        <f>F126</f>
        <v>18157009</v>
      </c>
    </row>
    <row r="127" spans="1:17" s="83" customFormat="1" ht="60.75" customHeight="1">
      <c r="A127" s="82"/>
      <c r="B127" s="97">
        <v>7518370</v>
      </c>
      <c r="C127" s="99">
        <v>8370</v>
      </c>
      <c r="D127" s="95" t="s">
        <v>317</v>
      </c>
      <c r="E127" s="141" t="s">
        <v>363</v>
      </c>
      <c r="F127" s="98">
        <f t="shared" si="10"/>
        <v>432900</v>
      </c>
      <c r="G127" s="98">
        <f>30000+46000+9600+200000+46000+8000+30000+29900+20000+23000-9600</f>
        <v>432900</v>
      </c>
      <c r="H127" s="98"/>
      <c r="I127" s="98"/>
      <c r="J127" s="98"/>
      <c r="K127" s="98"/>
      <c r="L127" s="98"/>
      <c r="M127" s="98"/>
      <c r="N127" s="98"/>
      <c r="O127" s="98"/>
      <c r="P127" s="98"/>
      <c r="Q127" s="98">
        <f>F127</f>
        <v>432900</v>
      </c>
    </row>
    <row r="128" spans="1:17" s="83" customFormat="1" ht="60.75" customHeight="1">
      <c r="A128" s="82"/>
      <c r="B128" s="97">
        <v>7518440</v>
      </c>
      <c r="C128" s="99">
        <v>8440</v>
      </c>
      <c r="D128" s="95" t="s">
        <v>317</v>
      </c>
      <c r="E128" s="141" t="s">
        <v>352</v>
      </c>
      <c r="F128" s="98">
        <f t="shared" si="10"/>
        <v>3250000</v>
      </c>
      <c r="G128" s="98">
        <v>3250000</v>
      </c>
      <c r="H128" s="98"/>
      <c r="I128" s="98"/>
      <c r="J128" s="98"/>
      <c r="K128" s="98"/>
      <c r="L128" s="98"/>
      <c r="M128" s="98"/>
      <c r="N128" s="98"/>
      <c r="O128" s="98"/>
      <c r="P128" s="98"/>
      <c r="Q128" s="98">
        <f>F128</f>
        <v>3250000</v>
      </c>
    </row>
    <row r="129" spans="1:17" s="132" customFormat="1" ht="33.75" customHeight="1">
      <c r="A129" s="131"/>
      <c r="B129" s="97"/>
      <c r="C129" s="97"/>
      <c r="D129" s="90"/>
      <c r="E129" s="91" t="s">
        <v>101</v>
      </c>
      <c r="F129" s="476">
        <f>F9+F13+F25+F36+F53+F59+F102+F106+F120+F111+F117+F114</f>
        <v>343179266.28999996</v>
      </c>
      <c r="G129" s="476">
        <f>G9+G13+G25+G36+G53+G59+G102+G106+G120+G111+G117+G114</f>
        <v>343129266.28999996</v>
      </c>
      <c r="H129" s="476">
        <f>H9+H13+H25+H36+H53+H59+H102+H106+H120</f>
        <v>86874701.94000001</v>
      </c>
      <c r="I129" s="476">
        <f>I9+I13+I25+I36+I53+I59+I102+I106+I120</f>
        <v>7148123.909999999</v>
      </c>
      <c r="J129" s="142"/>
      <c r="K129" s="476">
        <f>K25+K59+K102+K106+K120+K13+K53</f>
        <v>8944953.2</v>
      </c>
      <c r="L129" s="142">
        <f>L25+L59+L102+L106</f>
        <v>766600</v>
      </c>
      <c r="M129" s="142">
        <f>M25+M59+M102+M106</f>
        <v>305000</v>
      </c>
      <c r="N129" s="142">
        <f>N25+N59+N102+N106</f>
        <v>32500</v>
      </c>
      <c r="O129" s="142">
        <f>O25+O59+O102+O106+O120+O53+O13</f>
        <v>8198353.2</v>
      </c>
      <c r="P129" s="142">
        <f>P25+P59+P102+P106+P120+P53+P13</f>
        <v>8180391</v>
      </c>
      <c r="Q129" s="476">
        <f>Q9+Q13+Q25+Q36+Q53+Q59+Q102+Q106+Q120+Q111+Q117+Q114</f>
        <v>352124219.48999995</v>
      </c>
    </row>
    <row r="130" spans="1:17" s="83" customFormat="1" ht="12.75">
      <c r="A130" s="82"/>
      <c r="B130" s="101"/>
      <c r="C130" s="101"/>
      <c r="D130" s="101"/>
      <c r="E130" s="82"/>
      <c r="F130" s="82"/>
      <c r="G130" s="82"/>
      <c r="H130" s="82"/>
      <c r="I130" s="82"/>
      <c r="J130" s="82"/>
      <c r="K130" s="82"/>
      <c r="L130" s="82"/>
      <c r="M130" s="82"/>
      <c r="N130" s="82"/>
      <c r="O130" s="82"/>
      <c r="P130" s="82"/>
      <c r="Q130" s="82"/>
    </row>
    <row r="131" spans="1:17" s="83" customFormat="1" ht="23.25" customHeight="1">
      <c r="A131" s="82"/>
      <c r="B131" s="508" t="s">
        <v>18</v>
      </c>
      <c r="C131" s="534"/>
      <c r="D131" s="534"/>
      <c r="E131" s="534"/>
      <c r="F131" s="534"/>
      <c r="G131" s="534"/>
      <c r="H131" s="534"/>
      <c r="I131" s="534"/>
      <c r="J131" s="534"/>
      <c r="K131" s="534"/>
      <c r="L131" s="534"/>
      <c r="M131" s="534"/>
      <c r="N131" s="534"/>
      <c r="O131" s="534"/>
      <c r="P131" s="534"/>
      <c r="Q131" s="534"/>
    </row>
    <row r="132" spans="1:18" s="83" customFormat="1" ht="23.25" customHeight="1">
      <c r="A132" s="82"/>
      <c r="B132" s="534"/>
      <c r="C132" s="534"/>
      <c r="D132" s="534"/>
      <c r="E132" s="534"/>
      <c r="F132" s="534"/>
      <c r="G132" s="534"/>
      <c r="H132" s="534"/>
      <c r="I132" s="534"/>
      <c r="J132" s="534"/>
      <c r="K132" s="534"/>
      <c r="L132" s="534"/>
      <c r="M132" s="534"/>
      <c r="N132" s="534"/>
      <c r="O132" s="534"/>
      <c r="P132" s="534"/>
      <c r="Q132" s="534"/>
      <c r="R132" s="534"/>
    </row>
    <row r="133" spans="1:18" s="83" customFormat="1" ht="29.25" customHeight="1">
      <c r="A133" s="82"/>
      <c r="B133" s="534"/>
      <c r="C133" s="534"/>
      <c r="D133" s="534"/>
      <c r="E133" s="534"/>
      <c r="F133" s="534"/>
      <c r="G133" s="534"/>
      <c r="H133" s="534"/>
      <c r="I133" s="534"/>
      <c r="J133" s="534"/>
      <c r="K133" s="534"/>
      <c r="L133" s="534"/>
      <c r="M133" s="534"/>
      <c r="N133" s="534"/>
      <c r="O133" s="534"/>
      <c r="P133" s="534"/>
      <c r="Q133" s="534"/>
      <c r="R133" s="534"/>
    </row>
    <row r="134" spans="1:17" s="83" customFormat="1" ht="27.75" customHeight="1">
      <c r="A134" s="82"/>
      <c r="B134" s="534"/>
      <c r="C134" s="534"/>
      <c r="D134" s="534"/>
      <c r="E134" s="534"/>
      <c r="F134" s="534"/>
      <c r="G134" s="534"/>
      <c r="H134" s="534"/>
      <c r="I134" s="534"/>
      <c r="J134" s="534"/>
      <c r="K134" s="534"/>
      <c r="L134" s="534"/>
      <c r="M134" s="534"/>
      <c r="N134" s="534"/>
      <c r="O134" s="534"/>
      <c r="P134" s="534"/>
      <c r="Q134" s="534"/>
    </row>
  </sheetData>
  <sheetProtection/>
  <mergeCells count="27">
    <mergeCell ref="B131:Q131"/>
    <mergeCell ref="N7:N8"/>
    <mergeCell ref="O6:O8"/>
    <mergeCell ref="P7:P8"/>
    <mergeCell ref="G6:G8"/>
    <mergeCell ref="L6:L8"/>
    <mergeCell ref="B5:B8"/>
    <mergeCell ref="B1:Q1"/>
    <mergeCell ref="M6:N6"/>
    <mergeCell ref="F5:J5"/>
    <mergeCell ref="J6:J8"/>
    <mergeCell ref="N2:R2"/>
    <mergeCell ref="M7:M8"/>
    <mergeCell ref="D5:D8"/>
    <mergeCell ref="E5:E8"/>
    <mergeCell ref="F6:F8"/>
    <mergeCell ref="K5:P5"/>
    <mergeCell ref="B3:Q3"/>
    <mergeCell ref="H6:I6"/>
    <mergeCell ref="Q5:Q8"/>
    <mergeCell ref="B134:Q134"/>
    <mergeCell ref="H7:H8"/>
    <mergeCell ref="I7:I8"/>
    <mergeCell ref="C5:C8"/>
    <mergeCell ref="K6:K8"/>
    <mergeCell ref="B132:R132"/>
    <mergeCell ref="B133:R133"/>
  </mergeCells>
  <printOptions horizontalCentered="1"/>
  <pageMargins left="0.3937007874015748" right="0.3937007874015748" top="0.01968503937007874" bottom="0.01968503937007874" header="0.5118110236220472" footer="0.31496062992125984"/>
  <pageSetup fitToHeight="0" fitToWidth="1" horizontalDpi="300" verticalDpi="300" orientation="landscape" paperSize="9" scale="61"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tabColor indexed="11"/>
  </sheetPr>
  <dimension ref="A1:AL64"/>
  <sheetViews>
    <sheetView showGridLines="0" showZeros="0" tabSelected="1" view="pageBreakPreview" zoomScale="60" zoomScaleNormal="110" zoomScalePageLayoutView="0" workbookViewId="0" topLeftCell="A24">
      <selection activeCell="H60" sqref="H60"/>
    </sheetView>
  </sheetViews>
  <sheetFormatPr defaultColWidth="9.33203125" defaultRowHeight="12.75"/>
  <cols>
    <col min="1" max="1" width="16" style="150" customWidth="1"/>
    <col min="2" max="2" width="31.66015625" style="150" customWidth="1"/>
    <col min="3" max="3" width="17" style="150" hidden="1" customWidth="1"/>
    <col min="4" max="4" width="15.33203125" style="150" hidden="1" customWidth="1"/>
    <col min="5" max="5" width="17.33203125" style="150" customWidth="1"/>
    <col min="6" max="6" width="17" style="150" customWidth="1"/>
    <col min="7" max="7" width="17.33203125" style="150" customWidth="1"/>
    <col min="8" max="8" width="13.83203125" style="150" customWidth="1"/>
    <col min="9" max="9" width="16.33203125" style="150" customWidth="1"/>
    <col min="10" max="10" width="17.16015625" style="150" hidden="1" customWidth="1"/>
    <col min="11" max="11" width="14.66015625" style="150" hidden="1" customWidth="1"/>
    <col min="12" max="12" width="17.5" style="150" customWidth="1"/>
    <col min="13" max="13" width="15.16015625" style="150" customWidth="1"/>
    <col min="14" max="14" width="12.83203125" style="150" hidden="1" customWidth="1"/>
    <col min="15" max="15" width="15" style="150" customWidth="1"/>
    <col min="16" max="17" width="17" style="150" hidden="1" customWidth="1"/>
    <col min="18" max="19" width="22.16015625" style="150" hidden="1" customWidth="1"/>
    <col min="20" max="20" width="15.66015625" style="150" customWidth="1"/>
    <col min="21" max="21" width="13.33203125" style="150" customWidth="1"/>
    <col min="22" max="22" width="18.5" style="150" customWidth="1"/>
    <col min="23" max="23" width="27.5" style="150" customWidth="1"/>
    <col min="24" max="24" width="23.83203125" style="150" customWidth="1"/>
    <col min="25" max="25" width="19.66015625" style="150" hidden="1" customWidth="1"/>
    <col min="26" max="26" width="23.33203125" style="150" customWidth="1"/>
    <col min="27" max="27" width="21.66015625" style="150" customWidth="1"/>
    <col min="28" max="28" width="23.33203125" style="150" customWidth="1"/>
    <col min="29" max="29" width="24.16015625" style="150" bestFit="1" customWidth="1"/>
    <col min="30" max="30" width="9.33203125" style="150" customWidth="1"/>
    <col min="31" max="31" width="28" style="150" customWidth="1"/>
    <col min="32" max="32" width="19.5" style="150" customWidth="1"/>
    <col min="33" max="33" width="9.33203125" style="150" customWidth="1"/>
    <col min="34" max="34" width="24" style="150" customWidth="1"/>
    <col min="35" max="35" width="20.5" style="150" customWidth="1"/>
    <col min="36" max="37" width="9.33203125" style="150" customWidth="1"/>
    <col min="38" max="38" width="20" style="150" customWidth="1"/>
    <col min="39" max="16384" width="9.33203125" style="150" customWidth="1"/>
  </cols>
  <sheetData>
    <row r="1" spans="2:25" ht="18.75" customHeight="1" hidden="1">
      <c r="B1" s="151"/>
      <c r="C1" s="151"/>
      <c r="D1" s="151"/>
      <c r="E1" s="151"/>
      <c r="F1" s="151"/>
      <c r="G1" s="151"/>
      <c r="H1" s="151"/>
      <c r="I1" s="151"/>
      <c r="J1" s="151"/>
      <c r="K1" s="151"/>
      <c r="L1" s="152"/>
      <c r="M1" s="152"/>
      <c r="N1" s="152" t="s">
        <v>341</v>
      </c>
      <c r="O1" s="152"/>
      <c r="P1" s="152"/>
      <c r="Q1" s="152"/>
      <c r="R1" s="152"/>
      <c r="S1" s="151"/>
      <c r="T1" s="151"/>
      <c r="U1" s="151"/>
      <c r="V1" s="153"/>
      <c r="W1" s="153"/>
      <c r="X1" s="153"/>
      <c r="Y1" s="153"/>
    </row>
    <row r="2" spans="12:25" ht="9.75" customHeight="1">
      <c r="L2" s="152"/>
      <c r="M2" s="152"/>
      <c r="N2" s="152"/>
      <c r="O2" s="152"/>
      <c r="P2" s="152"/>
      <c r="Q2" s="152"/>
      <c r="R2" s="152"/>
      <c r="V2" s="153"/>
      <c r="W2" s="153"/>
      <c r="X2" s="153"/>
      <c r="Y2" s="153"/>
    </row>
    <row r="3" spans="12:25" ht="3" customHeight="1">
      <c r="L3" s="152"/>
      <c r="M3" s="154"/>
      <c r="N3" s="154" t="s">
        <v>444</v>
      </c>
      <c r="O3" s="152"/>
      <c r="P3" s="152"/>
      <c r="Q3" s="152"/>
      <c r="R3" s="152"/>
      <c r="V3" s="153"/>
      <c r="W3" s="153"/>
      <c r="X3" s="153"/>
      <c r="Y3" s="153"/>
    </row>
    <row r="4" spans="13:22" ht="18.75">
      <c r="M4" s="566" t="s">
        <v>321</v>
      </c>
      <c r="N4" s="562"/>
      <c r="O4" s="562"/>
      <c r="P4" s="562"/>
      <c r="Q4" s="562"/>
      <c r="R4" s="562"/>
      <c r="S4" s="562"/>
      <c r="T4" s="562"/>
      <c r="U4" s="562"/>
      <c r="V4" s="562"/>
    </row>
    <row r="5" spans="5:25" ht="18" customHeight="1">
      <c r="E5" s="567" t="s">
        <v>139</v>
      </c>
      <c r="F5" s="567"/>
      <c r="G5" s="567"/>
      <c r="H5" s="567"/>
      <c r="I5" s="562"/>
      <c r="J5" s="562"/>
      <c r="K5" s="562"/>
      <c r="L5" s="562"/>
      <c r="M5" s="562"/>
      <c r="N5" s="562"/>
      <c r="O5" s="562"/>
      <c r="P5" s="562"/>
      <c r="Q5" s="562"/>
      <c r="R5" s="562"/>
      <c r="S5" s="562"/>
      <c r="T5" s="562"/>
      <c r="U5" s="562"/>
      <c r="V5" s="562"/>
      <c r="W5" s="153"/>
      <c r="X5" s="153"/>
      <c r="Y5" s="153"/>
    </row>
    <row r="6" spans="5:25" ht="39.75" customHeight="1">
      <c r="E6" s="568" t="s">
        <v>441</v>
      </c>
      <c r="F6" s="568"/>
      <c r="G6" s="568"/>
      <c r="H6" s="568"/>
      <c r="I6" s="568"/>
      <c r="J6" s="568"/>
      <c r="K6" s="568"/>
      <c r="L6" s="568"/>
      <c r="M6" s="568"/>
      <c r="N6" s="155"/>
      <c r="O6" s="153"/>
      <c r="P6" s="153"/>
      <c r="Q6" s="153"/>
      <c r="R6" s="153"/>
      <c r="S6" s="153"/>
      <c r="T6" s="153"/>
      <c r="U6" s="153"/>
      <c r="V6" s="153"/>
      <c r="W6" s="153"/>
      <c r="X6" s="153"/>
      <c r="Y6" s="153"/>
    </row>
    <row r="7" spans="2:25" ht="18.75" customHeight="1">
      <c r="B7" s="156"/>
      <c r="C7" s="156"/>
      <c r="D7" s="156"/>
      <c r="M7" s="157" t="s">
        <v>343</v>
      </c>
      <c r="N7" s="157"/>
      <c r="O7" s="157"/>
      <c r="P7" s="157"/>
      <c r="Q7" s="157"/>
      <c r="R7" s="157"/>
      <c r="V7" s="157"/>
      <c r="W7" s="158"/>
      <c r="X7" s="153"/>
      <c r="Y7" s="153"/>
    </row>
    <row r="8" spans="1:28" ht="20.25" customHeight="1">
      <c r="A8" s="545" t="s">
        <v>76</v>
      </c>
      <c r="B8" s="545" t="s">
        <v>344</v>
      </c>
      <c r="C8" s="159"/>
      <c r="D8" s="159"/>
      <c r="E8" s="546" t="s">
        <v>345</v>
      </c>
      <c r="F8" s="547"/>
      <c r="G8" s="547"/>
      <c r="H8" s="547"/>
      <c r="I8" s="547"/>
      <c r="J8" s="547"/>
      <c r="K8" s="547"/>
      <c r="L8" s="547"/>
      <c r="M8" s="547"/>
      <c r="N8" s="547"/>
      <c r="O8" s="547"/>
      <c r="P8" s="547"/>
      <c r="Q8" s="547"/>
      <c r="R8" s="547"/>
      <c r="S8" s="547"/>
      <c r="T8" s="548"/>
      <c r="U8" s="425"/>
      <c r="V8" s="549" t="s">
        <v>67</v>
      </c>
      <c r="W8" s="160"/>
      <c r="X8" s="160"/>
      <c r="Y8" s="160"/>
      <c r="Z8" s="161"/>
      <c r="AA8" s="161"/>
      <c r="AB8" s="161"/>
    </row>
    <row r="9" spans="1:28" ht="20.25" customHeight="1" hidden="1">
      <c r="A9" s="545"/>
      <c r="B9" s="545"/>
      <c r="C9" s="162"/>
      <c r="D9" s="162"/>
      <c r="E9" s="163"/>
      <c r="F9" s="163"/>
      <c r="G9" s="163"/>
      <c r="H9" s="163"/>
      <c r="I9" s="163"/>
      <c r="J9" s="163"/>
      <c r="K9" s="163"/>
      <c r="L9" s="163"/>
      <c r="M9" s="163"/>
      <c r="N9" s="163"/>
      <c r="O9" s="203"/>
      <c r="P9" s="204"/>
      <c r="Q9" s="204"/>
      <c r="R9" s="204"/>
      <c r="S9" s="163"/>
      <c r="T9" s="205"/>
      <c r="U9" s="205"/>
      <c r="V9" s="550"/>
      <c r="W9" s="160"/>
      <c r="X9" s="160"/>
      <c r="Y9" s="160"/>
      <c r="Z9" s="161"/>
      <c r="AA9" s="161"/>
      <c r="AB9" s="161"/>
    </row>
    <row r="10" spans="1:28" ht="20.25" customHeight="1" hidden="1">
      <c r="A10" s="545"/>
      <c r="B10" s="545"/>
      <c r="C10" s="164"/>
      <c r="D10" s="164"/>
      <c r="E10" s="165"/>
      <c r="F10" s="165"/>
      <c r="G10" s="165"/>
      <c r="H10" s="165"/>
      <c r="I10" s="165"/>
      <c r="J10" s="165"/>
      <c r="K10" s="165"/>
      <c r="L10" s="165"/>
      <c r="M10" s="165"/>
      <c r="N10" s="165"/>
      <c r="O10" s="206"/>
      <c r="P10" s="204"/>
      <c r="Q10" s="204"/>
      <c r="R10" s="204"/>
      <c r="S10" s="165"/>
      <c r="T10" s="205"/>
      <c r="U10" s="205"/>
      <c r="V10" s="550"/>
      <c r="W10" s="160"/>
      <c r="X10" s="160"/>
      <c r="Y10" s="160"/>
      <c r="Z10" s="161"/>
      <c r="AA10" s="161"/>
      <c r="AB10" s="161"/>
    </row>
    <row r="11" spans="1:28" ht="20.25" customHeight="1" hidden="1">
      <c r="A11" s="545"/>
      <c r="B11" s="545"/>
      <c r="C11" s="166"/>
      <c r="D11" s="166"/>
      <c r="E11" s="167"/>
      <c r="F11" s="167"/>
      <c r="G11" s="167"/>
      <c r="H11" s="167"/>
      <c r="I11" s="167"/>
      <c r="J11" s="167"/>
      <c r="K11" s="167"/>
      <c r="L11" s="167"/>
      <c r="M11" s="167"/>
      <c r="N11" s="167"/>
      <c r="O11" s="207"/>
      <c r="P11" s="204"/>
      <c r="Q11" s="204"/>
      <c r="R11" s="204"/>
      <c r="S11" s="167"/>
      <c r="T11" s="205"/>
      <c r="U11" s="205"/>
      <c r="V11" s="550"/>
      <c r="W11" s="160"/>
      <c r="X11" s="160"/>
      <c r="Y11" s="160"/>
      <c r="Z11" s="161"/>
      <c r="AA11" s="161"/>
      <c r="AB11" s="161"/>
    </row>
    <row r="12" spans="1:28" ht="57" customHeight="1">
      <c r="A12" s="545"/>
      <c r="B12" s="545"/>
      <c r="C12" s="168"/>
      <c r="D12" s="168"/>
      <c r="E12" s="552" t="s">
        <v>346</v>
      </c>
      <c r="F12" s="553"/>
      <c r="G12" s="553"/>
      <c r="H12" s="553"/>
      <c r="I12" s="554"/>
      <c r="J12" s="554"/>
      <c r="K12" s="554"/>
      <c r="L12" s="554"/>
      <c r="M12" s="554"/>
      <c r="N12" s="554"/>
      <c r="O12" s="555"/>
      <c r="P12" s="556" t="s">
        <v>347</v>
      </c>
      <c r="Q12" s="556"/>
      <c r="R12" s="556"/>
      <c r="S12" s="537"/>
      <c r="T12" s="569" t="s">
        <v>445</v>
      </c>
      <c r="U12" s="570"/>
      <c r="V12" s="550"/>
      <c r="W12" s="169"/>
      <c r="X12" s="169"/>
      <c r="Y12" s="169"/>
      <c r="Z12" s="161"/>
      <c r="AA12" s="161"/>
      <c r="AB12" s="161"/>
    </row>
    <row r="13" spans="1:29" ht="18" customHeight="1">
      <c r="A13" s="545"/>
      <c r="B13" s="545"/>
      <c r="C13" s="539" t="s">
        <v>348</v>
      </c>
      <c r="D13" s="539" t="s">
        <v>349</v>
      </c>
      <c r="E13" s="511" t="s">
        <v>479</v>
      </c>
      <c r="F13" s="511" t="s">
        <v>325</v>
      </c>
      <c r="G13" s="571" t="s">
        <v>271</v>
      </c>
      <c r="H13" s="539" t="s">
        <v>363</v>
      </c>
      <c r="I13" s="539" t="s">
        <v>351</v>
      </c>
      <c r="J13" s="563" t="s">
        <v>352</v>
      </c>
      <c r="K13" s="539" t="s">
        <v>363</v>
      </c>
      <c r="L13" s="506" t="s">
        <v>364</v>
      </c>
      <c r="M13" s="542" t="s">
        <v>365</v>
      </c>
      <c r="N13" s="542"/>
      <c r="O13" s="542"/>
      <c r="P13" s="543" t="s">
        <v>364</v>
      </c>
      <c r="Q13" s="170"/>
      <c r="R13" s="539" t="s">
        <v>363</v>
      </c>
      <c r="S13" s="511" t="s">
        <v>325</v>
      </c>
      <c r="T13" s="506" t="s">
        <v>364</v>
      </c>
      <c r="U13" s="511" t="s">
        <v>325</v>
      </c>
      <c r="V13" s="550"/>
      <c r="W13" s="537" t="s">
        <v>366</v>
      </c>
      <c r="X13" s="511" t="s">
        <v>367</v>
      </c>
      <c r="Y13" s="538" t="s">
        <v>368</v>
      </c>
      <c r="Z13" s="511" t="s">
        <v>371</v>
      </c>
      <c r="AA13" s="511" t="s">
        <v>372</v>
      </c>
      <c r="AB13" s="511" t="s">
        <v>373</v>
      </c>
      <c r="AC13" s="511" t="s">
        <v>374</v>
      </c>
    </row>
    <row r="14" spans="1:29" ht="18.75" customHeight="1">
      <c r="A14" s="545"/>
      <c r="B14" s="545"/>
      <c r="C14" s="557"/>
      <c r="D14" s="559"/>
      <c r="E14" s="511"/>
      <c r="F14" s="511"/>
      <c r="G14" s="572"/>
      <c r="H14" s="540"/>
      <c r="I14" s="540"/>
      <c r="J14" s="564"/>
      <c r="K14" s="540"/>
      <c r="L14" s="536"/>
      <c r="M14" s="512" t="s">
        <v>375</v>
      </c>
      <c r="N14" s="512" t="s">
        <v>376</v>
      </c>
      <c r="O14" s="514" t="s">
        <v>377</v>
      </c>
      <c r="P14" s="544"/>
      <c r="Q14" s="512" t="s">
        <v>375</v>
      </c>
      <c r="R14" s="540"/>
      <c r="S14" s="511"/>
      <c r="T14" s="536"/>
      <c r="U14" s="511"/>
      <c r="V14" s="550"/>
      <c r="W14" s="537"/>
      <c r="X14" s="511"/>
      <c r="Y14" s="538"/>
      <c r="Z14" s="511"/>
      <c r="AA14" s="511"/>
      <c r="AB14" s="511"/>
      <c r="AC14" s="511"/>
    </row>
    <row r="15" spans="1:38" ht="240.75" customHeight="1">
      <c r="A15" s="545"/>
      <c r="B15" s="545"/>
      <c r="C15" s="558"/>
      <c r="D15" s="560"/>
      <c r="E15" s="511"/>
      <c r="F15" s="511"/>
      <c r="G15" s="560"/>
      <c r="H15" s="541"/>
      <c r="I15" s="541"/>
      <c r="J15" s="565"/>
      <c r="K15" s="541"/>
      <c r="L15" s="536"/>
      <c r="M15" s="513"/>
      <c r="N15" s="513"/>
      <c r="O15" s="513"/>
      <c r="P15" s="506"/>
      <c r="Q15" s="513"/>
      <c r="R15" s="541"/>
      <c r="S15" s="511"/>
      <c r="T15" s="536"/>
      <c r="U15" s="511"/>
      <c r="V15" s="551"/>
      <c r="W15" s="537"/>
      <c r="X15" s="511"/>
      <c r="Y15" s="538"/>
      <c r="Z15" s="511"/>
      <c r="AA15" s="511"/>
      <c r="AB15" s="511"/>
      <c r="AC15" s="511"/>
      <c r="AL15" s="150" t="s">
        <v>378</v>
      </c>
    </row>
    <row r="16" spans="1:38" ht="24.75" customHeight="1" hidden="1">
      <c r="A16" s="171">
        <v>6315401000</v>
      </c>
      <c r="B16" s="172" t="s">
        <v>326</v>
      </c>
      <c r="C16" s="173">
        <v>198000</v>
      </c>
      <c r="D16" s="173">
        <v>100000</v>
      </c>
      <c r="E16" s="174"/>
      <c r="F16" s="174"/>
      <c r="G16" s="174"/>
      <c r="H16" s="174"/>
      <c r="I16" s="174"/>
      <c r="J16" s="174">
        <v>42400</v>
      </c>
      <c r="K16" s="174"/>
      <c r="L16" s="174">
        <f aca="true" t="shared" si="0" ref="L16:L49">M16+O16</f>
        <v>0</v>
      </c>
      <c r="M16" s="174">
        <v>0</v>
      </c>
      <c r="N16" s="174"/>
      <c r="O16" s="174">
        <v>0</v>
      </c>
      <c r="P16" s="174">
        <f>Q16+15550+8000+500000+20000+104000</f>
        <v>647550</v>
      </c>
      <c r="Q16" s="174"/>
      <c r="R16" s="174"/>
      <c r="S16" s="174"/>
      <c r="T16" s="174"/>
      <c r="U16" s="174"/>
      <c r="V16" s="174">
        <f>L16</f>
        <v>0</v>
      </c>
      <c r="W16" s="175" t="e">
        <f>+L16+M16+#REF!+#REF!+#REF!+#REF!+#REF!+#REF!+#REF!+#REF!+#REF!+#REF!+#REF!+#REF!+#REF!</f>
        <v>#REF!</v>
      </c>
      <c r="X16" s="176" t="e">
        <f>+#REF!+#REF!+#REF!</f>
        <v>#REF!</v>
      </c>
      <c r="Y16" s="174"/>
      <c r="Z16" s="177" t="e">
        <f>#REF!+#REF!+E16</f>
        <v>#REF!</v>
      </c>
      <c r="AA16" s="177" t="e">
        <f>#REF!</f>
        <v>#REF!</v>
      </c>
      <c r="AB16" s="177" t="e">
        <f>#REF!+#REF!+#REF!+#REF!+#REF!+#REF!</f>
        <v>#REF!</v>
      </c>
      <c r="AC16" s="177" t="e">
        <f>AB16+Z16+X16+W16-V16+AA16</f>
        <v>#REF!</v>
      </c>
      <c r="AE16" s="150">
        <v>218900</v>
      </c>
      <c r="AF16" s="178" t="e">
        <f>AE16-#REF!</f>
        <v>#REF!</v>
      </c>
      <c r="AH16" s="150">
        <v>12068377</v>
      </c>
      <c r="AI16" s="178" t="e">
        <f>AH16-#REF!</f>
        <v>#REF!</v>
      </c>
      <c r="AL16" s="150" t="e">
        <f>#REF!+#REF!=#REF!</f>
        <v>#REF!</v>
      </c>
    </row>
    <row r="17" spans="1:38" ht="37.5" customHeight="1">
      <c r="A17" s="171">
        <v>6315501000</v>
      </c>
      <c r="B17" s="172" t="s">
        <v>327</v>
      </c>
      <c r="C17" s="172"/>
      <c r="D17" s="172"/>
      <c r="E17" s="174"/>
      <c r="F17" s="174"/>
      <c r="G17" s="481">
        <f>20000+50000</f>
        <v>70000</v>
      </c>
      <c r="H17" s="481"/>
      <c r="I17" s="481"/>
      <c r="J17" s="481">
        <f>42400+300000</f>
        <v>342400</v>
      </c>
      <c r="K17" s="481"/>
      <c r="L17" s="481">
        <f t="shared" si="0"/>
        <v>208775</v>
      </c>
      <c r="M17" s="481">
        <v>57690</v>
      </c>
      <c r="N17" s="481"/>
      <c r="O17" s="481">
        <v>151085</v>
      </c>
      <c r="P17" s="481">
        <f aca="true" t="shared" si="1" ref="P17:P58">Q17</f>
        <v>0</v>
      </c>
      <c r="Q17" s="481"/>
      <c r="R17" s="481"/>
      <c r="S17" s="481"/>
      <c r="T17" s="481"/>
      <c r="U17" s="481"/>
      <c r="V17" s="481">
        <f>L17+G17</f>
        <v>278775</v>
      </c>
      <c r="W17" s="175" t="e">
        <f>+L17+M17+#REF!+#REF!+#REF!+#REF!+#REF!+#REF!+#REF!+#REF!+#REF!+#REF!+#REF!+#REF!+#REF!</f>
        <v>#REF!</v>
      </c>
      <c r="X17" s="176" t="e">
        <f>+#REF!+#REF!+#REF!</f>
        <v>#REF!</v>
      </c>
      <c r="Y17" s="174"/>
      <c r="Z17" s="177" t="e">
        <f>#REF!+#REF!+E17</f>
        <v>#REF!</v>
      </c>
      <c r="AA17" s="177" t="e">
        <f>#REF!</f>
        <v>#REF!</v>
      </c>
      <c r="AB17" s="177" t="e">
        <f>#REF!+#REF!+#REF!+#REF!+#REF!+#REF!</f>
        <v>#REF!</v>
      </c>
      <c r="AC17" s="177" t="e">
        <f aca="true" t="shared" si="2" ref="AC17:AC51">AB17+Z17+X17+W17-V17+AA17</f>
        <v>#REF!</v>
      </c>
      <c r="AE17" s="150">
        <v>29400</v>
      </c>
      <c r="AF17" s="178" t="e">
        <f>AE17-#REF!</f>
        <v>#REF!</v>
      </c>
      <c r="AH17" s="150">
        <v>133100</v>
      </c>
      <c r="AI17" s="178" t="e">
        <f>AH17-#REF!</f>
        <v>#REF!</v>
      </c>
      <c r="AL17" s="150" t="e">
        <f>#REF!+#REF!=#REF!</f>
        <v>#REF!</v>
      </c>
    </row>
    <row r="18" spans="1:38" ht="36" customHeight="1">
      <c r="A18" s="171">
        <v>6315502000</v>
      </c>
      <c r="B18" s="172" t="s">
        <v>328</v>
      </c>
      <c r="C18" s="172"/>
      <c r="D18" s="172"/>
      <c r="E18" s="177"/>
      <c r="F18" s="177"/>
      <c r="G18" s="481">
        <f>20000+50000</f>
        <v>70000</v>
      </c>
      <c r="H18" s="482"/>
      <c r="I18" s="482"/>
      <c r="J18" s="481">
        <f>348011+42400</f>
        <v>390411</v>
      </c>
      <c r="K18" s="481"/>
      <c r="L18" s="481">
        <f t="shared" si="0"/>
        <v>214830</v>
      </c>
      <c r="M18" s="481"/>
      <c r="N18" s="481"/>
      <c r="O18" s="481">
        <v>214830</v>
      </c>
      <c r="P18" s="481">
        <f t="shared" si="1"/>
        <v>0</v>
      </c>
      <c r="Q18" s="481"/>
      <c r="R18" s="481"/>
      <c r="S18" s="482"/>
      <c r="T18" s="482">
        <v>10000</v>
      </c>
      <c r="U18" s="482"/>
      <c r="V18" s="481">
        <f>L18+T18+G18</f>
        <v>294830</v>
      </c>
      <c r="W18" s="175" t="e">
        <f>+L18+M18+#REF!+#REF!+#REF!+#REF!+#REF!+#REF!+#REF!+#REF!+#REF!+#REF!+#REF!+#REF!+#REF!</f>
        <v>#REF!</v>
      </c>
      <c r="X18" s="176" t="e">
        <f>+#REF!+#REF!+#REF!</f>
        <v>#REF!</v>
      </c>
      <c r="Y18" s="174"/>
      <c r="Z18" s="177" t="e">
        <f>#REF!+#REF!+E18</f>
        <v>#REF!</v>
      </c>
      <c r="AA18" s="177" t="e">
        <f>#REF!</f>
        <v>#REF!</v>
      </c>
      <c r="AB18" s="177" t="e">
        <f>#REF!+#REF!+#REF!+#REF!+#REF!+#REF!</f>
        <v>#REF!</v>
      </c>
      <c r="AC18" s="177" t="e">
        <f t="shared" si="2"/>
        <v>#REF!</v>
      </c>
      <c r="AE18" s="150">
        <v>2630777</v>
      </c>
      <c r="AF18" s="178" t="e">
        <f>AE18-#REF!</f>
        <v>#REF!</v>
      </c>
      <c r="AH18" s="150">
        <v>56700</v>
      </c>
      <c r="AI18" s="178" t="e">
        <f>AH18-#REF!</f>
        <v>#REF!</v>
      </c>
      <c r="AL18" s="150" t="e">
        <f>#REF!+#REF!=#REF!</f>
        <v>#REF!</v>
      </c>
    </row>
    <row r="19" spans="1:38" ht="33.75" customHeight="1">
      <c r="A19" s="171">
        <v>631550300</v>
      </c>
      <c r="B19" s="172" t="s">
        <v>329</v>
      </c>
      <c r="C19" s="172"/>
      <c r="D19" s="172"/>
      <c r="E19" s="174"/>
      <c r="F19" s="174"/>
      <c r="G19" s="481">
        <f>20000+70000</f>
        <v>90000</v>
      </c>
      <c r="H19" s="481"/>
      <c r="I19" s="481"/>
      <c r="J19" s="481">
        <f>42400</f>
        <v>42400</v>
      </c>
      <c r="K19" s="481"/>
      <c r="L19" s="481">
        <f t="shared" si="0"/>
        <v>695220</v>
      </c>
      <c r="M19" s="481">
        <v>351620</v>
      </c>
      <c r="N19" s="481"/>
      <c r="O19" s="481">
        <v>343600</v>
      </c>
      <c r="P19" s="481">
        <f>31200</f>
        <v>31200</v>
      </c>
      <c r="Q19" s="481"/>
      <c r="R19" s="481"/>
      <c r="S19" s="481"/>
      <c r="T19" s="481"/>
      <c r="U19" s="481"/>
      <c r="V19" s="481">
        <f>L19+G19</f>
        <v>785220</v>
      </c>
      <c r="W19" s="175" t="e">
        <f>+L19+M19+#REF!+#REF!+#REF!+#REF!+#REF!+#REF!+#REF!+#REF!+#REF!+#REF!+#REF!+#REF!+#REF!</f>
        <v>#REF!</v>
      </c>
      <c r="X19" s="176" t="e">
        <f>+#REF!+#REF!+#REF!</f>
        <v>#REF!</v>
      </c>
      <c r="Y19" s="174"/>
      <c r="Z19" s="177" t="e">
        <f>#REF!+#REF!+E19</f>
        <v>#REF!</v>
      </c>
      <c r="AA19" s="177" t="e">
        <f>#REF!</f>
        <v>#REF!</v>
      </c>
      <c r="AB19" s="177" t="e">
        <f>#REF!+#REF!+#REF!+#REF!+#REF!+#REF!</f>
        <v>#REF!</v>
      </c>
      <c r="AC19" s="177" t="e">
        <f t="shared" si="2"/>
        <v>#REF!</v>
      </c>
      <c r="AE19" s="208">
        <v>59154</v>
      </c>
      <c r="AF19" s="178" t="e">
        <f>AE19-#REF!</f>
        <v>#REF!</v>
      </c>
      <c r="AH19" s="150">
        <v>8700</v>
      </c>
      <c r="AI19" s="178" t="e">
        <f>AH19-#REF!</f>
        <v>#REF!</v>
      </c>
      <c r="AL19" s="150" t="e">
        <f>#REF!+#REF!=#REF!</f>
        <v>#REF!</v>
      </c>
    </row>
    <row r="20" spans="1:38" ht="33" customHeight="1">
      <c r="A20" s="171">
        <v>6315504000</v>
      </c>
      <c r="B20" s="172" t="s">
        <v>379</v>
      </c>
      <c r="C20" s="172"/>
      <c r="D20" s="172"/>
      <c r="E20" s="174"/>
      <c r="F20" s="174"/>
      <c r="G20" s="481">
        <f>30000+100000</f>
        <v>130000</v>
      </c>
      <c r="H20" s="481"/>
      <c r="I20" s="481"/>
      <c r="J20" s="481">
        <v>42400</v>
      </c>
      <c r="K20" s="481"/>
      <c r="L20" s="481">
        <f t="shared" si="0"/>
        <v>151380</v>
      </c>
      <c r="M20" s="481">
        <v>35450</v>
      </c>
      <c r="N20" s="481"/>
      <c r="O20" s="481">
        <v>115930</v>
      </c>
      <c r="P20" s="481">
        <f t="shared" si="1"/>
        <v>0</v>
      </c>
      <c r="Q20" s="481"/>
      <c r="R20" s="481"/>
      <c r="S20" s="481"/>
      <c r="T20" s="481"/>
      <c r="U20" s="481"/>
      <c r="V20" s="481">
        <f>L20+G20</f>
        <v>281380</v>
      </c>
      <c r="W20" s="175" t="e">
        <f>+L20+M20+#REF!+#REF!+#REF!+#REF!+#REF!+#REF!+#REF!+#REF!+#REF!+#REF!+#REF!+#REF!+#REF!</f>
        <v>#REF!</v>
      </c>
      <c r="X20" s="176" t="e">
        <f>+#REF!+#REF!+#REF!</f>
        <v>#REF!</v>
      </c>
      <c r="Y20" s="174"/>
      <c r="Z20" s="177" t="e">
        <f>#REF!+#REF!+E20</f>
        <v>#REF!</v>
      </c>
      <c r="AA20" s="177" t="e">
        <f>#REF!</f>
        <v>#REF!</v>
      </c>
      <c r="AB20" s="177" t="e">
        <f>#REF!+#REF!+#REF!+#REF!+#REF!+#REF!</f>
        <v>#REF!</v>
      </c>
      <c r="AC20" s="177" t="e">
        <f t="shared" si="2"/>
        <v>#REF!</v>
      </c>
      <c r="AE20" s="150">
        <v>95354</v>
      </c>
      <c r="AF20" s="178" t="e">
        <f>AE20-#REF!</f>
        <v>#REF!</v>
      </c>
      <c r="AH20" s="150">
        <v>30000</v>
      </c>
      <c r="AI20" s="178" t="e">
        <f>AH20-#REF!</f>
        <v>#REF!</v>
      </c>
      <c r="AL20" s="150" t="e">
        <f>#REF!+#REF!=#REF!</f>
        <v>#REF!</v>
      </c>
    </row>
    <row r="21" spans="1:38" s="208" customFormat="1" ht="30" customHeight="1">
      <c r="A21" s="171">
        <v>6315505000</v>
      </c>
      <c r="B21" s="172" t="s">
        <v>380</v>
      </c>
      <c r="C21" s="172"/>
      <c r="D21" s="172"/>
      <c r="E21" s="174"/>
      <c r="F21" s="174"/>
      <c r="G21" s="481">
        <f>30000+50000</f>
        <v>80000</v>
      </c>
      <c r="H21" s="481"/>
      <c r="I21" s="481"/>
      <c r="J21" s="481">
        <f>42400+150000+165005</f>
        <v>357405</v>
      </c>
      <c r="K21" s="481"/>
      <c r="L21" s="481">
        <f t="shared" si="0"/>
        <v>766835</v>
      </c>
      <c r="M21" s="481">
        <v>602160</v>
      </c>
      <c r="N21" s="481"/>
      <c r="O21" s="481">
        <v>164675</v>
      </c>
      <c r="P21" s="481">
        <f>Q21+10000</f>
        <v>10000</v>
      </c>
      <c r="Q21" s="481"/>
      <c r="R21" s="481"/>
      <c r="S21" s="481"/>
      <c r="T21" s="481"/>
      <c r="U21" s="481"/>
      <c r="V21" s="481">
        <f>L21+G21</f>
        <v>846835</v>
      </c>
      <c r="W21" s="175" t="e">
        <f>+L21+M21+#REF!+#REF!+#REF!+#REF!+#REF!+#REF!+#REF!+#REF!+#REF!+#REF!+#REF!</f>
        <v>#REF!</v>
      </c>
      <c r="X21" s="176" t="e">
        <f>+#REF!+#REF!+#REF!</f>
        <v>#REF!</v>
      </c>
      <c r="Y21" s="209">
        <f>SUM(Y16:Y20)</f>
        <v>0</v>
      </c>
      <c r="Z21" s="209" t="e">
        <f>SUM(Z16:Z20)</f>
        <v>#REF!</v>
      </c>
      <c r="AA21" s="209" t="e">
        <f>SUM(AA16:AA20)</f>
        <v>#REF!</v>
      </c>
      <c r="AB21" s="209" t="e">
        <f>SUM(AB16:AB20)</f>
        <v>#REF!</v>
      </c>
      <c r="AC21" s="209" t="e">
        <f>SUM(AC16:AC20)</f>
        <v>#REF!</v>
      </c>
      <c r="AE21" s="150">
        <v>3033585</v>
      </c>
      <c r="AF21" s="178" t="e">
        <f>AE21-#REF!</f>
        <v>#REF!</v>
      </c>
      <c r="AH21" s="208">
        <v>12296877</v>
      </c>
      <c r="AI21" s="178" t="e">
        <f>AH21-#REF!</f>
        <v>#REF!</v>
      </c>
      <c r="AL21" s="150" t="e">
        <f>#REF!+#REF!=#REF!</f>
        <v>#REF!</v>
      </c>
    </row>
    <row r="22" spans="1:38" ht="24.75" customHeight="1">
      <c r="A22" s="171">
        <v>6315506000</v>
      </c>
      <c r="B22" s="172" t="s">
        <v>381</v>
      </c>
      <c r="C22" s="172"/>
      <c r="D22" s="172"/>
      <c r="E22" s="174"/>
      <c r="F22" s="174"/>
      <c r="G22" s="481">
        <f>30000+50000</f>
        <v>80000</v>
      </c>
      <c r="H22" s="481"/>
      <c r="I22" s="481"/>
      <c r="J22" s="481">
        <f>42400</f>
        <v>42400</v>
      </c>
      <c r="K22" s="481"/>
      <c r="L22" s="481">
        <f>M22+O22+50000</f>
        <v>252990</v>
      </c>
      <c r="M22" s="481">
        <v>63460</v>
      </c>
      <c r="N22" s="481"/>
      <c r="O22" s="481">
        <v>139530</v>
      </c>
      <c r="P22" s="481">
        <f>Q22+150000+18100+218000</f>
        <v>386100</v>
      </c>
      <c r="Q22" s="481"/>
      <c r="R22" s="481"/>
      <c r="S22" s="481"/>
      <c r="T22" s="494">
        <v>17962.2</v>
      </c>
      <c r="U22" s="481"/>
      <c r="V22" s="494">
        <f>L22+T22+G22</f>
        <v>350952.2</v>
      </c>
      <c r="W22" s="175" t="e">
        <f>+L22+M22+#REF!+#REF!+#REF!+#REF!+#REF!+#REF!+#REF!+#REF!+#REF!+#REF!+#REF!+#REF!+#REF!</f>
        <v>#REF!</v>
      </c>
      <c r="X22" s="176" t="e">
        <f>+#REF!+#REF!+#REF!</f>
        <v>#REF!</v>
      </c>
      <c r="Y22" s="174"/>
      <c r="Z22" s="177" t="e">
        <f>#REF!+#REF!+E22</f>
        <v>#REF!</v>
      </c>
      <c r="AA22" s="177" t="e">
        <f>#REF!</f>
        <v>#REF!</v>
      </c>
      <c r="AB22" s="177" t="e">
        <f>#REF!+#REF!+#REF!+#REF!+#REF!+#REF!</f>
        <v>#REF!</v>
      </c>
      <c r="AC22" s="177" t="e">
        <f t="shared" si="2"/>
        <v>#REF!</v>
      </c>
      <c r="AE22" s="150">
        <v>136531</v>
      </c>
      <c r="AF22" s="178" t="e">
        <f>AE22-#REF!</f>
        <v>#REF!</v>
      </c>
      <c r="AH22" s="150">
        <v>61141</v>
      </c>
      <c r="AI22" s="178" t="e">
        <f>AH22-#REF!</f>
        <v>#REF!</v>
      </c>
      <c r="AL22" s="150" t="e">
        <f>#REF!+#REF!=#REF!</f>
        <v>#REF!</v>
      </c>
    </row>
    <row r="23" spans="1:38" ht="30.75" customHeight="1">
      <c r="A23" s="171">
        <v>6315507000</v>
      </c>
      <c r="B23" s="172" t="s">
        <v>382</v>
      </c>
      <c r="C23" s="172"/>
      <c r="D23" s="172"/>
      <c r="E23" s="174"/>
      <c r="F23" s="174"/>
      <c r="G23" s="481">
        <f>30000+50000</f>
        <v>80000</v>
      </c>
      <c r="H23" s="481"/>
      <c r="I23" s="481"/>
      <c r="J23" s="481">
        <f>42400</f>
        <v>42400</v>
      </c>
      <c r="K23" s="481"/>
      <c r="L23" s="481">
        <f t="shared" si="0"/>
        <v>818470</v>
      </c>
      <c r="M23" s="481">
        <v>612760</v>
      </c>
      <c r="N23" s="481"/>
      <c r="O23" s="481">
        <v>205710</v>
      </c>
      <c r="P23" s="481">
        <f>Q23+145200</f>
        <v>145200</v>
      </c>
      <c r="Q23" s="481"/>
      <c r="R23" s="481"/>
      <c r="S23" s="481"/>
      <c r="T23" s="481"/>
      <c r="U23" s="481"/>
      <c r="V23" s="481">
        <f>L23+G23</f>
        <v>898470</v>
      </c>
      <c r="W23" s="175" t="e">
        <f>+L23+M23+#REF!+#REF!+#REF!+#REF!+#REF!+#REF!+#REF!+#REF!+#REF!+#REF!+#REF!+#REF!+#REF!</f>
        <v>#REF!</v>
      </c>
      <c r="X23" s="176" t="e">
        <f>+#REF!+#REF!+#REF!</f>
        <v>#REF!</v>
      </c>
      <c r="Y23" s="174"/>
      <c r="Z23" s="177" t="e">
        <f>#REF!+#REF!+E23</f>
        <v>#REF!</v>
      </c>
      <c r="AA23" s="177" t="e">
        <f>#REF!</f>
        <v>#REF!</v>
      </c>
      <c r="AB23" s="177" t="e">
        <f>#REF!+#REF!+#REF!+#REF!+#REF!+#REF!</f>
        <v>#REF!</v>
      </c>
      <c r="AC23" s="177" t="e">
        <f t="shared" si="2"/>
        <v>#REF!</v>
      </c>
      <c r="AE23" s="150">
        <v>35220</v>
      </c>
      <c r="AF23" s="178" t="e">
        <f>AE23-#REF!</f>
        <v>#REF!</v>
      </c>
      <c r="AH23" s="150">
        <v>9500</v>
      </c>
      <c r="AI23" s="178" t="e">
        <f>AH23-#REF!</f>
        <v>#REF!</v>
      </c>
      <c r="AL23" s="150" t="e">
        <f>#REF!+#REF!=#REF!</f>
        <v>#REF!</v>
      </c>
    </row>
    <row r="24" spans="1:38" ht="30.75" customHeight="1">
      <c r="A24" s="171">
        <v>6315508000</v>
      </c>
      <c r="B24" s="172" t="s">
        <v>385</v>
      </c>
      <c r="C24" s="172"/>
      <c r="D24" s="172"/>
      <c r="E24" s="174"/>
      <c r="F24" s="174"/>
      <c r="G24" s="481">
        <f>30000+50000</f>
        <v>80000</v>
      </c>
      <c r="H24" s="481"/>
      <c r="I24" s="481"/>
      <c r="J24" s="481">
        <f>300000+42400</f>
        <v>342400</v>
      </c>
      <c r="K24" s="481"/>
      <c r="L24" s="481">
        <f t="shared" si="0"/>
        <v>193320</v>
      </c>
      <c r="M24" s="481">
        <v>93780</v>
      </c>
      <c r="N24" s="481"/>
      <c r="O24" s="481">
        <v>99540</v>
      </c>
      <c r="P24" s="481">
        <f>Q24+70000</f>
        <v>70000</v>
      </c>
      <c r="Q24" s="481"/>
      <c r="R24" s="481"/>
      <c r="S24" s="481"/>
      <c r="T24" s="481">
        <v>75000</v>
      </c>
      <c r="U24" s="481"/>
      <c r="V24" s="481">
        <f>L24+T24+G24</f>
        <v>348320</v>
      </c>
      <c r="W24" s="175" t="e">
        <f>+L24+M24+#REF!+#REF!+#REF!+#REF!+#REF!+#REF!+#REF!+#REF!+#REF!+#REF!+#REF!+#REF!+#REF!</f>
        <v>#REF!</v>
      </c>
      <c r="X24" s="176" t="e">
        <f>+#REF!+#REF!+#REF!</f>
        <v>#REF!</v>
      </c>
      <c r="Y24" s="174"/>
      <c r="Z24" s="177" t="e">
        <f>#REF!+#REF!+E24</f>
        <v>#REF!</v>
      </c>
      <c r="AA24" s="177" t="e">
        <f>#REF!</f>
        <v>#REF!</v>
      </c>
      <c r="AB24" s="177" t="e">
        <f>#REF!+#REF!+#REF!+#REF!+#REF!+#REF!</f>
        <v>#REF!</v>
      </c>
      <c r="AC24" s="177" t="e">
        <f t="shared" si="2"/>
        <v>#REF!</v>
      </c>
      <c r="AE24" s="150">
        <v>84966</v>
      </c>
      <c r="AF24" s="178" t="e">
        <f>AE24-#REF!</f>
        <v>#REF!</v>
      </c>
      <c r="AH24" s="150">
        <v>218000</v>
      </c>
      <c r="AI24" s="178" t="e">
        <f>AH24-#REF!</f>
        <v>#REF!</v>
      </c>
      <c r="AL24" s="150" t="e">
        <f>#REF!+#REF!=#REF!</f>
        <v>#REF!</v>
      </c>
    </row>
    <row r="25" spans="1:38" ht="33" customHeight="1">
      <c r="A25" s="171">
        <v>6315509000</v>
      </c>
      <c r="B25" s="172" t="s">
        <v>386</v>
      </c>
      <c r="C25" s="172"/>
      <c r="D25" s="172"/>
      <c r="E25" s="174"/>
      <c r="F25" s="174"/>
      <c r="G25" s="481">
        <f>30000+100000</f>
        <v>130000</v>
      </c>
      <c r="H25" s="481"/>
      <c r="I25" s="481"/>
      <c r="J25" s="481">
        <f>42400</f>
        <v>42400</v>
      </c>
      <c r="K25" s="481"/>
      <c r="L25" s="481">
        <f t="shared" si="0"/>
        <v>99155</v>
      </c>
      <c r="M25" s="481"/>
      <c r="N25" s="481"/>
      <c r="O25" s="481">
        <v>99155</v>
      </c>
      <c r="P25" s="481">
        <f t="shared" si="1"/>
        <v>0</v>
      </c>
      <c r="Q25" s="481"/>
      <c r="R25" s="481"/>
      <c r="S25" s="481"/>
      <c r="T25" s="481"/>
      <c r="U25" s="481"/>
      <c r="V25" s="481">
        <f>L25+G25</f>
        <v>229155</v>
      </c>
      <c r="W25" s="175" t="e">
        <f>+L25+M25+#REF!+#REF!+#REF!+#REF!+#REF!+#REF!+#REF!+#REF!+#REF!+#REF!+#REF!+#REF!+#REF!</f>
        <v>#REF!</v>
      </c>
      <c r="X25" s="176" t="e">
        <f>+#REF!+#REF!+#REF!</f>
        <v>#REF!</v>
      </c>
      <c r="Y25" s="174"/>
      <c r="Z25" s="177" t="e">
        <f>#REF!+#REF!+E25</f>
        <v>#REF!</v>
      </c>
      <c r="AA25" s="177" t="e">
        <f>#REF!</f>
        <v>#REF!</v>
      </c>
      <c r="AB25" s="177" t="e">
        <f>#REF!+#REF!+#REF!+#REF!+#REF!+#REF!</f>
        <v>#REF!</v>
      </c>
      <c r="AC25" s="177" t="e">
        <f t="shared" si="2"/>
        <v>#REF!</v>
      </c>
      <c r="AE25" s="150">
        <v>32561</v>
      </c>
      <c r="AF25" s="178" t="e">
        <f>AE25-#REF!</f>
        <v>#REF!</v>
      </c>
      <c r="AH25" s="150">
        <v>0</v>
      </c>
      <c r="AI25" s="178" t="e">
        <f>AH25-#REF!</f>
        <v>#REF!</v>
      </c>
      <c r="AL25" s="150" t="e">
        <f>#REF!+#REF!=#REF!</f>
        <v>#REF!</v>
      </c>
    </row>
    <row r="26" spans="1:38" ht="30" customHeight="1">
      <c r="A26" s="171">
        <v>6315510000</v>
      </c>
      <c r="B26" s="172" t="s">
        <v>387</v>
      </c>
      <c r="C26" s="172"/>
      <c r="D26" s="172"/>
      <c r="E26" s="174"/>
      <c r="F26" s="174"/>
      <c r="G26" s="481">
        <f>30000+50000</f>
        <v>80000</v>
      </c>
      <c r="H26" s="481"/>
      <c r="I26" s="481"/>
      <c r="J26" s="481">
        <v>42400</v>
      </c>
      <c r="K26" s="481"/>
      <c r="L26" s="481">
        <f t="shared" si="0"/>
        <v>981870</v>
      </c>
      <c r="M26" s="481">
        <v>766650</v>
      </c>
      <c r="N26" s="481"/>
      <c r="O26" s="481">
        <v>215220</v>
      </c>
      <c r="P26" s="481">
        <f>Q26+300000+100000+145000</f>
        <v>545000</v>
      </c>
      <c r="Q26" s="481"/>
      <c r="R26" s="481"/>
      <c r="S26" s="481"/>
      <c r="T26" s="481"/>
      <c r="U26" s="481"/>
      <c r="V26" s="481">
        <f>L26+G26</f>
        <v>1061870</v>
      </c>
      <c r="W26" s="175" t="e">
        <f>+L26+M26+#REF!+#REF!+#REF!+#REF!+#REF!+#REF!+#REF!+#REF!+#REF!+#REF!+#REF!+#REF!+#REF!</f>
        <v>#REF!</v>
      </c>
      <c r="X26" s="176" t="e">
        <f>+#REF!+#REF!+#REF!</f>
        <v>#REF!</v>
      </c>
      <c r="Y26" s="174"/>
      <c r="Z26" s="177" t="e">
        <f>#REF!+#REF!+E26</f>
        <v>#REF!</v>
      </c>
      <c r="AA26" s="177" t="e">
        <f>#REF!</f>
        <v>#REF!</v>
      </c>
      <c r="AB26" s="177" t="e">
        <f>#REF!+#REF!+#REF!+#REF!+#REF!+#REF!</f>
        <v>#REF!</v>
      </c>
      <c r="AC26" s="177" t="e">
        <f t="shared" si="2"/>
        <v>#REF!</v>
      </c>
      <c r="AE26" s="150">
        <v>77488</v>
      </c>
      <c r="AF26" s="178" t="e">
        <f>AE26-#REF!</f>
        <v>#REF!</v>
      </c>
      <c r="AH26" s="150">
        <v>51000</v>
      </c>
      <c r="AI26" s="178" t="e">
        <f>AH26-#REF!</f>
        <v>#REF!</v>
      </c>
      <c r="AL26" s="150" t="e">
        <f>#REF!+#REF!=#REF!</f>
        <v>#REF!</v>
      </c>
    </row>
    <row r="27" spans="1:38" ht="24.75" customHeight="1">
      <c r="A27" s="171">
        <v>6355111000</v>
      </c>
      <c r="B27" s="172" t="s">
        <v>388</v>
      </c>
      <c r="C27" s="172"/>
      <c r="D27" s="172"/>
      <c r="E27" s="174"/>
      <c r="F27" s="174"/>
      <c r="G27" s="481">
        <f>30000+50000</f>
        <v>80000</v>
      </c>
      <c r="H27" s="481"/>
      <c r="I27" s="481"/>
      <c r="J27" s="481">
        <v>42400</v>
      </c>
      <c r="K27" s="481"/>
      <c r="L27" s="481">
        <f t="shared" si="0"/>
        <v>483645</v>
      </c>
      <c r="M27" s="481">
        <v>405205</v>
      </c>
      <c r="N27" s="481"/>
      <c r="O27" s="481">
        <v>78440</v>
      </c>
      <c r="P27" s="481">
        <f t="shared" si="1"/>
        <v>0</v>
      </c>
      <c r="Q27" s="481"/>
      <c r="R27" s="481"/>
      <c r="S27" s="481"/>
      <c r="T27" s="481"/>
      <c r="U27" s="481"/>
      <c r="V27" s="481">
        <f>L27+G27</f>
        <v>563645</v>
      </c>
      <c r="W27" s="175" t="e">
        <f>+L27+M27+#REF!+#REF!+#REF!+#REF!+#REF!+#REF!+#REF!+#REF!+#REF!+#REF!+#REF!+#REF!+#REF!</f>
        <v>#REF!</v>
      </c>
      <c r="X27" s="176" t="e">
        <f>+#REF!+#REF!+#REF!</f>
        <v>#REF!</v>
      </c>
      <c r="Y27" s="174"/>
      <c r="Z27" s="177" t="e">
        <f>#REF!+#REF!+E27</f>
        <v>#REF!</v>
      </c>
      <c r="AA27" s="177" t="e">
        <f>#REF!</f>
        <v>#REF!</v>
      </c>
      <c r="AB27" s="177" t="e">
        <f>#REF!+#REF!+#REF!+#REF!+#REF!+#REF!</f>
        <v>#REF!</v>
      </c>
      <c r="AC27" s="177" t="e">
        <f t="shared" si="2"/>
        <v>#REF!</v>
      </c>
      <c r="AE27" s="150">
        <v>335820</v>
      </c>
      <c r="AF27" s="178" t="e">
        <f>AE27-#REF!</f>
        <v>#REF!</v>
      </c>
      <c r="AH27" s="150">
        <v>125239</v>
      </c>
      <c r="AI27" s="178" t="e">
        <f>AH27-#REF!</f>
        <v>#REF!</v>
      </c>
      <c r="AL27" s="150" t="e">
        <f>#REF!+#REF!=#REF!</f>
        <v>#REF!</v>
      </c>
    </row>
    <row r="28" spans="1:38" ht="24.75" customHeight="1" hidden="1">
      <c r="A28" s="171">
        <v>6315512000</v>
      </c>
      <c r="B28" s="172" t="s">
        <v>389</v>
      </c>
      <c r="C28" s="172"/>
      <c r="D28" s="172"/>
      <c r="E28" s="174"/>
      <c r="F28" s="174"/>
      <c r="G28" s="481"/>
      <c r="H28" s="481"/>
      <c r="I28" s="481"/>
      <c r="J28" s="481">
        <v>42400</v>
      </c>
      <c r="K28" s="481"/>
      <c r="L28" s="481">
        <f t="shared" si="0"/>
        <v>0</v>
      </c>
      <c r="M28" s="481">
        <v>0</v>
      </c>
      <c r="N28" s="481"/>
      <c r="O28" s="481">
        <v>0</v>
      </c>
      <c r="P28" s="481">
        <f t="shared" si="1"/>
        <v>0</v>
      </c>
      <c r="Q28" s="481"/>
      <c r="R28" s="481"/>
      <c r="S28" s="481"/>
      <c r="T28" s="481"/>
      <c r="U28" s="481"/>
      <c r="V28" s="481">
        <f>L28</f>
        <v>0</v>
      </c>
      <c r="W28" s="175" t="e">
        <f>+L28+M28+#REF!+#REF!+#REF!+#REF!+#REF!+#REF!+#REF!+#REF!+#REF!+#REF!+#REF!+#REF!+#REF!</f>
        <v>#REF!</v>
      </c>
      <c r="X28" s="176" t="e">
        <f>+#REF!+#REF!+#REF!</f>
        <v>#REF!</v>
      </c>
      <c r="Y28" s="174"/>
      <c r="Z28" s="177" t="e">
        <f>#REF!+#REF!+E28</f>
        <v>#REF!</v>
      </c>
      <c r="AA28" s="177" t="e">
        <f>#REF!</f>
        <v>#REF!</v>
      </c>
      <c r="AB28" s="177" t="e">
        <f>#REF!+#REF!+#REF!+#REF!+#REF!+#REF!</f>
        <v>#REF!</v>
      </c>
      <c r="AC28" s="177" t="e">
        <f t="shared" si="2"/>
        <v>#REF!</v>
      </c>
      <c r="AE28" s="150">
        <v>32669</v>
      </c>
      <c r="AF28" s="178" t="e">
        <f>AE28-#REF!</f>
        <v>#REF!</v>
      </c>
      <c r="AH28" s="150">
        <v>38000</v>
      </c>
      <c r="AI28" s="178" t="e">
        <f>AH28-#REF!</f>
        <v>#REF!</v>
      </c>
      <c r="AL28" s="150" t="e">
        <f>#REF!+#REF!=#REF!</f>
        <v>#REF!</v>
      </c>
    </row>
    <row r="29" spans="1:38" ht="34.5" customHeight="1">
      <c r="A29" s="171">
        <v>631551300</v>
      </c>
      <c r="B29" s="172" t="s">
        <v>390</v>
      </c>
      <c r="C29" s="172"/>
      <c r="D29" s="172"/>
      <c r="E29" s="174"/>
      <c r="F29" s="174"/>
      <c r="G29" s="481">
        <f>30000+90000</f>
        <v>120000</v>
      </c>
      <c r="H29" s="481"/>
      <c r="I29" s="481"/>
      <c r="J29" s="481">
        <f>42400</f>
        <v>42400</v>
      </c>
      <c r="K29" s="481"/>
      <c r="L29" s="481">
        <f t="shared" si="0"/>
        <v>682375</v>
      </c>
      <c r="M29" s="481">
        <v>538955</v>
      </c>
      <c r="N29" s="481"/>
      <c r="O29" s="481">
        <v>143420</v>
      </c>
      <c r="P29" s="481">
        <f t="shared" si="1"/>
        <v>0</v>
      </c>
      <c r="Q29" s="481"/>
      <c r="R29" s="481"/>
      <c r="S29" s="481"/>
      <c r="T29" s="481"/>
      <c r="U29" s="481"/>
      <c r="V29" s="481">
        <f>L29+G29</f>
        <v>802375</v>
      </c>
      <c r="W29" s="175" t="e">
        <f>+L29+M29+#REF!+#REF!+#REF!+#REF!+#REF!+#REF!+#REF!+#REF!+#REF!+#REF!+#REF!+#REF!+#REF!</f>
        <v>#REF!</v>
      </c>
      <c r="X29" s="176" t="e">
        <f>+#REF!+#REF!+#REF!</f>
        <v>#REF!</v>
      </c>
      <c r="Y29" s="174"/>
      <c r="Z29" s="177" t="e">
        <f>#REF!+#REF!+E29</f>
        <v>#REF!</v>
      </c>
      <c r="AA29" s="177" t="e">
        <f>#REF!</f>
        <v>#REF!</v>
      </c>
      <c r="AB29" s="177" t="e">
        <f>#REF!+#REF!+#REF!+#REF!+#REF!+#REF!</f>
        <v>#REF!</v>
      </c>
      <c r="AC29" s="177" t="e">
        <f t="shared" si="2"/>
        <v>#REF!</v>
      </c>
      <c r="AE29" s="150">
        <v>719942</v>
      </c>
      <c r="AF29" s="178" t="e">
        <f>AE29-#REF!</f>
        <v>#REF!</v>
      </c>
      <c r="AH29" s="150">
        <v>495755</v>
      </c>
      <c r="AI29" s="178" t="e">
        <f>AH29-#REF!</f>
        <v>#REF!</v>
      </c>
      <c r="AL29" s="150" t="e">
        <f>#REF!+#REF!=#REF!</f>
        <v>#REF!</v>
      </c>
    </row>
    <row r="30" spans="1:38" ht="30.75" customHeight="1">
      <c r="A30" s="171">
        <v>6315514000</v>
      </c>
      <c r="B30" s="172" t="s">
        <v>391</v>
      </c>
      <c r="C30" s="172"/>
      <c r="D30" s="172"/>
      <c r="E30" s="177"/>
      <c r="F30" s="177"/>
      <c r="G30" s="481">
        <f>30000+50000+40000</f>
        <v>120000</v>
      </c>
      <c r="H30" s="482"/>
      <c r="I30" s="482"/>
      <c r="J30" s="481">
        <v>42400</v>
      </c>
      <c r="K30" s="481"/>
      <c r="L30" s="481">
        <f t="shared" si="0"/>
        <v>103760</v>
      </c>
      <c r="M30" s="481">
        <v>37190</v>
      </c>
      <c r="N30" s="481"/>
      <c r="O30" s="481">
        <v>66570</v>
      </c>
      <c r="P30" s="481">
        <f t="shared" si="1"/>
        <v>0</v>
      </c>
      <c r="Q30" s="481"/>
      <c r="R30" s="481"/>
      <c r="S30" s="482"/>
      <c r="T30" s="482"/>
      <c r="U30" s="482"/>
      <c r="V30" s="481">
        <f>L30+G30</f>
        <v>223760</v>
      </c>
      <c r="W30" s="175" t="e">
        <f>+L30+M30+#REF!+#REF!+#REF!+#REF!+#REF!+#REF!+#REF!+#REF!+#REF!+#REF!+#REF!+#REF!+#REF!</f>
        <v>#REF!</v>
      </c>
      <c r="X30" s="176" t="e">
        <f>+#REF!+#REF!+#REF!</f>
        <v>#REF!</v>
      </c>
      <c r="Y30" s="174"/>
      <c r="Z30" s="177" t="e">
        <f>#REF!+#REF!+E30</f>
        <v>#REF!</v>
      </c>
      <c r="AA30" s="177" t="e">
        <f>#REF!</f>
        <v>#REF!</v>
      </c>
      <c r="AB30" s="177" t="e">
        <f>#REF!+#REF!+#REF!+#REF!+#REF!+#REF!</f>
        <v>#REF!</v>
      </c>
      <c r="AC30" s="177" t="e">
        <f t="shared" si="2"/>
        <v>#REF!</v>
      </c>
      <c r="AE30" s="150">
        <v>742433</v>
      </c>
      <c r="AF30" s="178" t="e">
        <f>AE30-#REF!</f>
        <v>#REF!</v>
      </c>
      <c r="AH30" s="150">
        <v>79000</v>
      </c>
      <c r="AI30" s="178" t="e">
        <f>AH30-#REF!</f>
        <v>#REF!</v>
      </c>
      <c r="AL30" s="150" t="e">
        <f>#REF!+#REF!=#REF!</f>
        <v>#REF!</v>
      </c>
    </row>
    <row r="31" spans="1:38" ht="24.75" customHeight="1" hidden="1">
      <c r="A31" s="171">
        <v>6315515000</v>
      </c>
      <c r="B31" s="172" t="s">
        <v>392</v>
      </c>
      <c r="C31" s="172"/>
      <c r="D31" s="172"/>
      <c r="E31" s="174"/>
      <c r="F31" s="174"/>
      <c r="G31" s="481"/>
      <c r="H31" s="481"/>
      <c r="I31" s="481"/>
      <c r="J31" s="481">
        <f>42400</f>
        <v>42400</v>
      </c>
      <c r="K31" s="481"/>
      <c r="L31" s="481">
        <f t="shared" si="0"/>
        <v>0</v>
      </c>
      <c r="M31" s="481">
        <v>0</v>
      </c>
      <c r="N31" s="481"/>
      <c r="O31" s="481">
        <v>0</v>
      </c>
      <c r="P31" s="481">
        <f t="shared" si="1"/>
        <v>0</v>
      </c>
      <c r="Q31" s="481"/>
      <c r="R31" s="481"/>
      <c r="S31" s="481"/>
      <c r="T31" s="481"/>
      <c r="U31" s="481"/>
      <c r="V31" s="481">
        <f>L31</f>
        <v>0</v>
      </c>
      <c r="W31" s="175" t="e">
        <f>+L31+M31+#REF!+#REF!+#REF!+#REF!+#REF!+#REF!+#REF!+#REF!+#REF!+#REF!+#REF!+#REF!+#REF!</f>
        <v>#REF!</v>
      </c>
      <c r="X31" s="176" t="e">
        <f>+#REF!+#REF!+#REF!</f>
        <v>#REF!</v>
      </c>
      <c r="Y31" s="174"/>
      <c r="Z31" s="177" t="e">
        <f>#REF!+#REF!+E31</f>
        <v>#REF!</v>
      </c>
      <c r="AA31" s="177" t="e">
        <f>#REF!</f>
        <v>#REF!</v>
      </c>
      <c r="AB31" s="177" t="e">
        <f>#REF!+#REF!+#REF!+#REF!+#REF!+#REF!</f>
        <v>#REF!</v>
      </c>
      <c r="AC31" s="177" t="e">
        <f t="shared" si="2"/>
        <v>#REF!</v>
      </c>
      <c r="AE31" s="150">
        <v>56151</v>
      </c>
      <c r="AF31" s="178" t="e">
        <f>AE31-#REF!</f>
        <v>#REF!</v>
      </c>
      <c r="AH31" s="150">
        <v>0</v>
      </c>
      <c r="AI31" s="178" t="e">
        <f>AH31-#REF!</f>
        <v>#REF!</v>
      </c>
      <c r="AL31" s="150" t="e">
        <f>#REF!+#REF!=#REF!</f>
        <v>#REF!</v>
      </c>
    </row>
    <row r="32" spans="1:38" ht="24.75" customHeight="1" hidden="1">
      <c r="A32" s="171">
        <v>6315516000</v>
      </c>
      <c r="B32" s="172" t="s">
        <v>393</v>
      </c>
      <c r="C32" s="172"/>
      <c r="D32" s="172"/>
      <c r="E32" s="174"/>
      <c r="F32" s="174"/>
      <c r="G32" s="481"/>
      <c r="H32" s="481"/>
      <c r="I32" s="481"/>
      <c r="J32" s="481">
        <v>42400</v>
      </c>
      <c r="K32" s="481"/>
      <c r="L32" s="481">
        <f t="shared" si="0"/>
        <v>0</v>
      </c>
      <c r="M32" s="481">
        <v>0</v>
      </c>
      <c r="N32" s="481"/>
      <c r="O32" s="481">
        <v>0</v>
      </c>
      <c r="P32" s="481">
        <f t="shared" si="1"/>
        <v>0</v>
      </c>
      <c r="Q32" s="481"/>
      <c r="R32" s="481"/>
      <c r="S32" s="481"/>
      <c r="T32" s="481"/>
      <c r="U32" s="481"/>
      <c r="V32" s="481">
        <f>L32</f>
        <v>0</v>
      </c>
      <c r="W32" s="175" t="e">
        <f>+L32+M32+#REF!+#REF!+#REF!+#REF!+#REF!+#REF!+#REF!+#REF!+#REF!+#REF!+#REF!+#REF!+#REF!</f>
        <v>#REF!</v>
      </c>
      <c r="X32" s="176" t="e">
        <f>+#REF!+#REF!+#REF!</f>
        <v>#REF!</v>
      </c>
      <c r="Y32" s="174"/>
      <c r="Z32" s="177" t="e">
        <f>#REF!+#REF!+E32</f>
        <v>#REF!</v>
      </c>
      <c r="AA32" s="177" t="e">
        <f>#REF!</f>
        <v>#REF!</v>
      </c>
      <c r="AB32" s="177" t="e">
        <f>#REF!+#REF!+#REF!+#REF!+#REF!+#REF!</f>
        <v>#REF!</v>
      </c>
      <c r="AC32" s="177" t="e">
        <f t="shared" si="2"/>
        <v>#REF!</v>
      </c>
      <c r="AE32" s="150">
        <v>65464</v>
      </c>
      <c r="AF32" s="178" t="e">
        <f>AE32-#REF!</f>
        <v>#REF!</v>
      </c>
      <c r="AH32" s="150">
        <v>76000</v>
      </c>
      <c r="AI32" s="178" t="e">
        <f>AH32-#REF!</f>
        <v>#REF!</v>
      </c>
      <c r="AL32" s="150" t="e">
        <f>#REF!+#REF!=#REF!</f>
        <v>#REF!</v>
      </c>
    </row>
    <row r="33" spans="1:38" ht="33.75" customHeight="1">
      <c r="A33" s="171">
        <v>6315517000</v>
      </c>
      <c r="B33" s="172" t="s">
        <v>394</v>
      </c>
      <c r="C33" s="172"/>
      <c r="D33" s="172"/>
      <c r="E33" s="174"/>
      <c r="F33" s="174"/>
      <c r="G33" s="481">
        <f>30000+50000+50000</f>
        <v>130000</v>
      </c>
      <c r="H33" s="481"/>
      <c r="I33" s="481"/>
      <c r="J33" s="481">
        <f>42400</f>
        <v>42400</v>
      </c>
      <c r="K33" s="481"/>
      <c r="L33" s="481">
        <f t="shared" si="0"/>
        <v>597590</v>
      </c>
      <c r="M33" s="481">
        <v>489490</v>
      </c>
      <c r="N33" s="481"/>
      <c r="O33" s="481">
        <v>108100</v>
      </c>
      <c r="P33" s="481">
        <f t="shared" si="1"/>
        <v>0</v>
      </c>
      <c r="Q33" s="481"/>
      <c r="R33" s="481"/>
      <c r="S33" s="481"/>
      <c r="T33" s="481">
        <v>20000</v>
      </c>
      <c r="U33" s="481"/>
      <c r="V33" s="481">
        <f>L33+T33+G33</f>
        <v>747590</v>
      </c>
      <c r="W33" s="175" t="e">
        <f>+L33+M33+#REF!+#REF!+#REF!+#REF!+#REF!+#REF!+#REF!+#REF!+#REF!+#REF!+#REF!+#REF!+#REF!</f>
        <v>#REF!</v>
      </c>
      <c r="X33" s="176" t="e">
        <f>+#REF!+#REF!+#REF!</f>
        <v>#REF!</v>
      </c>
      <c r="Y33" s="174"/>
      <c r="Z33" s="177" t="e">
        <f>#REF!+#REF!+E33</f>
        <v>#REF!</v>
      </c>
      <c r="AA33" s="177" t="e">
        <f>#REF!</f>
        <v>#REF!</v>
      </c>
      <c r="AB33" s="177" t="e">
        <f>#REF!+#REF!+#REF!+#REF!+#REF!+#REF!</f>
        <v>#REF!</v>
      </c>
      <c r="AC33" s="177" t="e">
        <f t="shared" si="2"/>
        <v>#REF!</v>
      </c>
      <c r="AE33" s="150">
        <v>146117</v>
      </c>
      <c r="AF33" s="178" t="e">
        <f>AE33-#REF!</f>
        <v>#REF!</v>
      </c>
      <c r="AH33" s="150">
        <v>22900</v>
      </c>
      <c r="AI33" s="178" t="e">
        <f>AH33-#REF!</f>
        <v>#REF!</v>
      </c>
      <c r="AL33" s="150" t="e">
        <f>#REF!+#REF!=#REF!</f>
        <v>#REF!</v>
      </c>
    </row>
    <row r="34" spans="1:38" ht="24.75" customHeight="1" hidden="1">
      <c r="A34" s="171">
        <v>6315518000</v>
      </c>
      <c r="B34" s="172" t="s">
        <v>395</v>
      </c>
      <c r="C34" s="172"/>
      <c r="D34" s="172"/>
      <c r="E34" s="174"/>
      <c r="F34" s="174"/>
      <c r="G34" s="481"/>
      <c r="H34" s="481"/>
      <c r="I34" s="481"/>
      <c r="J34" s="481">
        <f>42400+156970</f>
        <v>199370</v>
      </c>
      <c r="K34" s="481"/>
      <c r="L34" s="481">
        <f t="shared" si="0"/>
        <v>0</v>
      </c>
      <c r="M34" s="481"/>
      <c r="N34" s="481"/>
      <c r="O34" s="481">
        <v>0</v>
      </c>
      <c r="P34" s="481">
        <f>Q34+8000</f>
        <v>8000</v>
      </c>
      <c r="Q34" s="481"/>
      <c r="R34" s="481"/>
      <c r="S34" s="481"/>
      <c r="T34" s="481"/>
      <c r="U34" s="481"/>
      <c r="V34" s="481">
        <f>L34</f>
        <v>0</v>
      </c>
      <c r="W34" s="175" t="e">
        <f>+L34+M34+#REF!+#REF!+#REF!+#REF!+#REF!+#REF!+#REF!+#REF!+#REF!+#REF!+#REF!+#REF!+#REF!</f>
        <v>#REF!</v>
      </c>
      <c r="X34" s="176" t="e">
        <f>+#REF!+#REF!+#REF!</f>
        <v>#REF!</v>
      </c>
      <c r="Y34" s="174"/>
      <c r="Z34" s="177" t="e">
        <f>#REF!+#REF!+E34</f>
        <v>#REF!</v>
      </c>
      <c r="AA34" s="177" t="e">
        <f>#REF!</f>
        <v>#REF!</v>
      </c>
      <c r="AB34" s="177" t="e">
        <f>#REF!+#REF!+#REF!+#REF!+#REF!+#REF!</f>
        <v>#REF!</v>
      </c>
      <c r="AC34" s="177" t="e">
        <f t="shared" si="2"/>
        <v>#REF!</v>
      </c>
      <c r="AE34" s="150">
        <v>48797</v>
      </c>
      <c r="AF34" s="178" t="e">
        <f>AE34-#REF!</f>
        <v>#REF!</v>
      </c>
      <c r="AH34" s="150">
        <v>39000</v>
      </c>
      <c r="AI34" s="178" t="e">
        <f>AH34-#REF!</f>
        <v>#REF!</v>
      </c>
      <c r="AL34" s="150" t="e">
        <f>#REF!+#REF!=#REF!</f>
        <v>#REF!</v>
      </c>
    </row>
    <row r="35" spans="1:38" ht="32.25" customHeight="1">
      <c r="A35" s="171">
        <v>6315519000</v>
      </c>
      <c r="B35" s="172" t="s">
        <v>396</v>
      </c>
      <c r="C35" s="172"/>
      <c r="D35" s="172"/>
      <c r="E35" s="174"/>
      <c r="F35" s="174"/>
      <c r="G35" s="481">
        <f>30000+50000</f>
        <v>80000</v>
      </c>
      <c r="H35" s="481"/>
      <c r="I35" s="481"/>
      <c r="J35" s="481">
        <v>42400</v>
      </c>
      <c r="K35" s="481"/>
      <c r="L35" s="481">
        <f t="shared" si="0"/>
        <v>152360</v>
      </c>
      <c r="M35" s="481"/>
      <c r="N35" s="481"/>
      <c r="O35" s="481">
        <v>152360</v>
      </c>
      <c r="P35" s="481">
        <v>7800</v>
      </c>
      <c r="Q35" s="481"/>
      <c r="R35" s="481"/>
      <c r="S35" s="481"/>
      <c r="T35" s="481"/>
      <c r="U35" s="481"/>
      <c r="V35" s="481">
        <f>L35+G35</f>
        <v>232360</v>
      </c>
      <c r="W35" s="175" t="e">
        <f>+L35+M35+#REF!+#REF!+#REF!+#REF!+#REF!+#REF!+#REF!+#REF!+#REF!+#REF!+#REF!+#REF!+#REF!</f>
        <v>#REF!</v>
      </c>
      <c r="X35" s="176" t="e">
        <f>+#REF!+#REF!+#REF!</f>
        <v>#REF!</v>
      </c>
      <c r="Y35" s="174"/>
      <c r="Z35" s="177" t="e">
        <f>#REF!+#REF!+E35</f>
        <v>#REF!</v>
      </c>
      <c r="AA35" s="177" t="e">
        <f>#REF!</f>
        <v>#REF!</v>
      </c>
      <c r="AB35" s="177" t="e">
        <f>#REF!+#REF!+#REF!+#REF!+#REF!+#REF!</f>
        <v>#REF!</v>
      </c>
      <c r="AC35" s="177" t="e">
        <f t="shared" si="2"/>
        <v>#REF!</v>
      </c>
      <c r="AE35" s="150">
        <v>69937</v>
      </c>
      <c r="AF35" s="178" t="e">
        <f>AE35-#REF!</f>
        <v>#REF!</v>
      </c>
      <c r="AH35" s="150">
        <v>70000</v>
      </c>
      <c r="AI35" s="178" t="e">
        <f>AH35-#REF!</f>
        <v>#REF!</v>
      </c>
      <c r="AL35" s="150" t="e">
        <f>#REF!+#REF!=#REF!</f>
        <v>#REF!</v>
      </c>
    </row>
    <row r="36" spans="1:38" ht="24.75" customHeight="1" hidden="1">
      <c r="A36" s="171">
        <v>6315520000</v>
      </c>
      <c r="B36" s="172" t="s">
        <v>397</v>
      </c>
      <c r="C36" s="172"/>
      <c r="D36" s="172"/>
      <c r="E36" s="174"/>
      <c r="F36" s="174"/>
      <c r="G36" s="481"/>
      <c r="H36" s="481"/>
      <c r="I36" s="481"/>
      <c r="J36" s="481">
        <f>42400</f>
        <v>42400</v>
      </c>
      <c r="K36" s="481"/>
      <c r="L36" s="481">
        <f t="shared" si="0"/>
        <v>0</v>
      </c>
      <c r="M36" s="481"/>
      <c r="N36" s="481"/>
      <c r="O36" s="481">
        <v>0</v>
      </c>
      <c r="P36" s="481">
        <f t="shared" si="1"/>
        <v>0</v>
      </c>
      <c r="Q36" s="481"/>
      <c r="R36" s="481"/>
      <c r="S36" s="481"/>
      <c r="T36" s="481"/>
      <c r="U36" s="481"/>
      <c r="V36" s="481">
        <f>L36</f>
        <v>0</v>
      </c>
      <c r="W36" s="175" t="e">
        <f>+L36+M36+#REF!+#REF!+#REF!+#REF!+#REF!+#REF!+#REF!+#REF!+#REF!+#REF!+#REF!+#REF!+#REF!</f>
        <v>#REF!</v>
      </c>
      <c r="X36" s="176" t="e">
        <f>+#REF!+#REF!+#REF!</f>
        <v>#REF!</v>
      </c>
      <c r="Y36" s="174"/>
      <c r="Z36" s="177" t="e">
        <f>#REF!+#REF!+E36</f>
        <v>#REF!</v>
      </c>
      <c r="AA36" s="177" t="e">
        <f>#REF!</f>
        <v>#REF!</v>
      </c>
      <c r="AB36" s="177" t="e">
        <f>#REF!+#REF!+#REF!+#REF!+#REF!+#REF!</f>
        <v>#REF!</v>
      </c>
      <c r="AC36" s="177" t="e">
        <f t="shared" si="2"/>
        <v>#REF!</v>
      </c>
      <c r="AE36" s="150">
        <v>716557</v>
      </c>
      <c r="AF36" s="178" t="e">
        <f>AE36-#REF!</f>
        <v>#REF!</v>
      </c>
      <c r="AH36" s="150">
        <v>51800</v>
      </c>
      <c r="AI36" s="178" t="e">
        <f>AH36-#REF!</f>
        <v>#REF!</v>
      </c>
      <c r="AL36" s="150" t="e">
        <f>#REF!+#REF!=#REF!</f>
        <v>#REF!</v>
      </c>
    </row>
    <row r="37" spans="1:38" ht="30.75" customHeight="1">
      <c r="A37" s="171">
        <v>6315521000</v>
      </c>
      <c r="B37" s="172" t="s">
        <v>398</v>
      </c>
      <c r="C37" s="172"/>
      <c r="D37" s="172"/>
      <c r="E37" s="174"/>
      <c r="F37" s="174"/>
      <c r="G37" s="481">
        <f>30000+50000</f>
        <v>80000</v>
      </c>
      <c r="H37" s="481"/>
      <c r="I37" s="481"/>
      <c r="J37" s="481">
        <f>42400</f>
        <v>42400</v>
      </c>
      <c r="K37" s="481"/>
      <c r="L37" s="481">
        <f t="shared" si="0"/>
        <v>825700</v>
      </c>
      <c r="M37" s="481">
        <v>685140</v>
      </c>
      <c r="N37" s="481"/>
      <c r="O37" s="481">
        <f>140605-45</f>
        <v>140560</v>
      </c>
      <c r="P37" s="481">
        <f t="shared" si="1"/>
        <v>0</v>
      </c>
      <c r="Q37" s="481"/>
      <c r="R37" s="481"/>
      <c r="S37" s="481"/>
      <c r="T37" s="481"/>
      <c r="U37" s="481"/>
      <c r="V37" s="481">
        <f aca="true" t="shared" si="3" ref="V37:V50">L37+G37</f>
        <v>905700</v>
      </c>
      <c r="W37" s="175" t="e">
        <f>+L37+M37+#REF!+#REF!+#REF!+#REF!+#REF!+#REF!+#REF!+#REF!+#REF!+#REF!+#REF!+#REF!+#REF!</f>
        <v>#REF!</v>
      </c>
      <c r="X37" s="176" t="e">
        <f>+#REF!+#REF!+#REF!</f>
        <v>#REF!</v>
      </c>
      <c r="Y37" s="174"/>
      <c r="Z37" s="177" t="e">
        <f>#REF!+#REF!+E37</f>
        <v>#REF!</v>
      </c>
      <c r="AA37" s="177" t="e">
        <f>#REF!</f>
        <v>#REF!</v>
      </c>
      <c r="AB37" s="177" t="e">
        <f>#REF!+#REF!+#REF!+#REF!+#REF!+#REF!</f>
        <v>#REF!</v>
      </c>
      <c r="AC37" s="177" t="e">
        <f t="shared" si="2"/>
        <v>#REF!</v>
      </c>
      <c r="AE37" s="150">
        <v>161963</v>
      </c>
      <c r="AF37" s="178" t="e">
        <f>AE37-#REF!</f>
        <v>#REF!</v>
      </c>
      <c r="AH37" s="150">
        <v>40000</v>
      </c>
      <c r="AI37" s="178" t="e">
        <f>AH37-#REF!</f>
        <v>#REF!</v>
      </c>
      <c r="AL37" s="150" t="e">
        <f>#REF!+#REF!=#REF!</f>
        <v>#REF!</v>
      </c>
    </row>
    <row r="38" spans="1:38" ht="34.5" customHeight="1">
      <c r="A38" s="171">
        <v>6315522000</v>
      </c>
      <c r="B38" s="172" t="s">
        <v>399</v>
      </c>
      <c r="C38" s="172"/>
      <c r="D38" s="172"/>
      <c r="E38" s="174"/>
      <c r="F38" s="174"/>
      <c r="G38" s="481">
        <f>30000+50000</f>
        <v>80000</v>
      </c>
      <c r="H38" s="481"/>
      <c r="I38" s="481"/>
      <c r="J38" s="481">
        <f>300000+42400</f>
        <v>342400</v>
      </c>
      <c r="K38" s="481"/>
      <c r="L38" s="481">
        <f t="shared" si="0"/>
        <v>568720</v>
      </c>
      <c r="M38" s="481">
        <f>426660+20000</f>
        <v>446660</v>
      </c>
      <c r="N38" s="481"/>
      <c r="O38" s="481">
        <f>122060</f>
        <v>122060</v>
      </c>
      <c r="P38" s="481">
        <f>30000</f>
        <v>30000</v>
      </c>
      <c r="Q38" s="481"/>
      <c r="R38" s="481"/>
      <c r="S38" s="481"/>
      <c r="T38" s="481"/>
      <c r="U38" s="481"/>
      <c r="V38" s="481">
        <f t="shared" si="3"/>
        <v>648720</v>
      </c>
      <c r="W38" s="175" t="e">
        <f>+L38+M38+#REF!+#REF!+#REF!+#REF!+#REF!+#REF!+#REF!+#REF!+#REF!+#REF!+#REF!+#REF!+#REF!</f>
        <v>#REF!</v>
      </c>
      <c r="X38" s="176" t="e">
        <f>+#REF!+#REF!+#REF!</f>
        <v>#REF!</v>
      </c>
      <c r="Y38" s="174"/>
      <c r="Z38" s="177" t="e">
        <f>#REF!+#REF!+E38</f>
        <v>#REF!</v>
      </c>
      <c r="AA38" s="177" t="e">
        <f>#REF!</f>
        <v>#REF!</v>
      </c>
      <c r="AB38" s="177" t="e">
        <f>#REF!+#REF!+#REF!+#REF!+#REF!+#REF!</f>
        <v>#REF!</v>
      </c>
      <c r="AC38" s="177" t="e">
        <f t="shared" si="2"/>
        <v>#REF!</v>
      </c>
      <c r="AE38" s="150">
        <v>49711</v>
      </c>
      <c r="AF38" s="178" t="e">
        <f>AE38-#REF!</f>
        <v>#REF!</v>
      </c>
      <c r="AH38" s="150">
        <v>141647</v>
      </c>
      <c r="AI38" s="178" t="e">
        <f>AH38-#REF!</f>
        <v>#REF!</v>
      </c>
      <c r="AL38" s="150" t="e">
        <f>#REF!+#REF!=#REF!</f>
        <v>#REF!</v>
      </c>
    </row>
    <row r="39" spans="1:38" ht="33.75" customHeight="1">
      <c r="A39" s="171">
        <v>6315523000</v>
      </c>
      <c r="B39" s="172" t="s">
        <v>400</v>
      </c>
      <c r="C39" s="172"/>
      <c r="D39" s="172"/>
      <c r="E39" s="174"/>
      <c r="F39" s="174"/>
      <c r="G39" s="481">
        <f>30000+50000+100000</f>
        <v>180000</v>
      </c>
      <c r="H39" s="481"/>
      <c r="I39" s="481"/>
      <c r="J39" s="481">
        <v>42400</v>
      </c>
      <c r="K39" s="481"/>
      <c r="L39" s="481">
        <f t="shared" si="0"/>
        <v>1160530</v>
      </c>
      <c r="M39" s="481">
        <v>1045110</v>
      </c>
      <c r="N39" s="481"/>
      <c r="O39" s="481">
        <v>115420</v>
      </c>
      <c r="P39" s="481">
        <f>Q39+10000+255000</f>
        <v>265000</v>
      </c>
      <c r="Q39" s="481"/>
      <c r="R39" s="481"/>
      <c r="S39" s="481"/>
      <c r="T39" s="481"/>
      <c r="U39" s="481"/>
      <c r="V39" s="481">
        <f t="shared" si="3"/>
        <v>1340530</v>
      </c>
      <c r="W39" s="175" t="e">
        <f>+L39+M39+#REF!+#REF!+#REF!+#REF!+#REF!+#REF!+#REF!+#REF!+#REF!+#REF!+#REF!+#REF!+#REF!</f>
        <v>#REF!</v>
      </c>
      <c r="X39" s="176" t="e">
        <f>+#REF!+#REF!+#REF!</f>
        <v>#REF!</v>
      </c>
      <c r="Y39" s="174"/>
      <c r="Z39" s="177" t="e">
        <f>#REF!+#REF!+E39</f>
        <v>#REF!</v>
      </c>
      <c r="AA39" s="177" t="e">
        <f>#REF!</f>
        <v>#REF!</v>
      </c>
      <c r="AB39" s="177" t="e">
        <f>#REF!+#REF!+#REF!+#REF!+#REF!+#REF!</f>
        <v>#REF!</v>
      </c>
      <c r="AC39" s="177" t="e">
        <f t="shared" si="2"/>
        <v>#REF!</v>
      </c>
      <c r="AE39" s="150">
        <v>53486</v>
      </c>
      <c r="AF39" s="178" t="e">
        <f>AE39-#REF!</f>
        <v>#REF!</v>
      </c>
      <c r="AH39" s="150">
        <v>25000</v>
      </c>
      <c r="AI39" s="178" t="e">
        <f>AH39-#REF!</f>
        <v>#REF!</v>
      </c>
      <c r="AL39" s="150" t="e">
        <f>#REF!+#REF!=#REF!</f>
        <v>#REF!</v>
      </c>
    </row>
    <row r="40" spans="1:38" ht="37.5" customHeight="1">
      <c r="A40" s="171">
        <v>6315524000</v>
      </c>
      <c r="B40" s="172" t="s">
        <v>401</v>
      </c>
      <c r="C40" s="172"/>
      <c r="D40" s="172"/>
      <c r="E40" s="174"/>
      <c r="F40" s="174"/>
      <c r="G40" s="481">
        <f>30000+50000</f>
        <v>80000</v>
      </c>
      <c r="H40" s="481"/>
      <c r="I40" s="481"/>
      <c r="J40" s="481">
        <v>42400</v>
      </c>
      <c r="K40" s="481"/>
      <c r="L40" s="481">
        <f t="shared" si="0"/>
        <v>935425</v>
      </c>
      <c r="M40" s="481">
        <v>745345</v>
      </c>
      <c r="N40" s="481"/>
      <c r="O40" s="481">
        <v>190080</v>
      </c>
      <c r="P40" s="481">
        <v>40000</v>
      </c>
      <c r="Q40" s="481"/>
      <c r="R40" s="481"/>
      <c r="S40" s="481"/>
      <c r="T40" s="481"/>
      <c r="U40" s="481"/>
      <c r="V40" s="481">
        <f t="shared" si="3"/>
        <v>1015425</v>
      </c>
      <c r="W40" s="175" t="e">
        <f>+L40+M40+#REF!+#REF!+#REF!+#REF!+#REF!+#REF!+#REF!+#REF!+#REF!+#REF!+#REF!+#REF!+#REF!</f>
        <v>#REF!</v>
      </c>
      <c r="X40" s="176" t="e">
        <f>+#REF!+#REF!+#REF!</f>
        <v>#REF!</v>
      </c>
      <c r="Y40" s="174"/>
      <c r="Z40" s="177" t="e">
        <f>#REF!+#REF!+E40</f>
        <v>#REF!</v>
      </c>
      <c r="AA40" s="177" t="e">
        <f>#REF!</f>
        <v>#REF!</v>
      </c>
      <c r="AB40" s="177" t="e">
        <f>#REF!+#REF!+#REF!+#REF!+#REF!+#REF!</f>
        <v>#REF!</v>
      </c>
      <c r="AC40" s="177" t="e">
        <f t="shared" si="2"/>
        <v>#REF!</v>
      </c>
      <c r="AE40" s="150">
        <v>105397</v>
      </c>
      <c r="AF40" s="178" t="e">
        <f>AE40-#REF!</f>
        <v>#REF!</v>
      </c>
      <c r="AH40" s="150">
        <v>13000</v>
      </c>
      <c r="AI40" s="178" t="e">
        <f>AH40-#REF!</f>
        <v>#REF!</v>
      </c>
      <c r="AL40" s="150" t="e">
        <f>#REF!+#REF!=#REF!</f>
        <v>#REF!</v>
      </c>
    </row>
    <row r="41" spans="1:38" ht="30.75" customHeight="1">
      <c r="A41" s="171">
        <v>6315525000</v>
      </c>
      <c r="B41" s="172" t="s">
        <v>402</v>
      </c>
      <c r="C41" s="172"/>
      <c r="D41" s="172"/>
      <c r="E41" s="174"/>
      <c r="F41" s="174"/>
      <c r="G41" s="481">
        <f>30000+50000</f>
        <v>80000</v>
      </c>
      <c r="H41" s="481"/>
      <c r="I41" s="481"/>
      <c r="J41" s="481">
        <v>42400</v>
      </c>
      <c r="K41" s="481"/>
      <c r="L41" s="481">
        <f t="shared" si="0"/>
        <v>1209850</v>
      </c>
      <c r="M41" s="481">
        <v>891200</v>
      </c>
      <c r="N41" s="481"/>
      <c r="O41" s="481">
        <v>318650</v>
      </c>
      <c r="P41" s="481">
        <f>Q41+30000+109200</f>
        <v>339200</v>
      </c>
      <c r="Q41" s="481">
        <v>200000</v>
      </c>
      <c r="R41" s="481"/>
      <c r="S41" s="481"/>
      <c r="T41" s="481"/>
      <c r="U41" s="481"/>
      <c r="V41" s="481">
        <f t="shared" si="3"/>
        <v>1289850</v>
      </c>
      <c r="W41" s="175" t="e">
        <f>+L41+M41+#REF!+#REF!+#REF!+#REF!+#REF!+#REF!+#REF!+#REF!+#REF!+#REF!+#REF!+#REF!+#REF!</f>
        <v>#REF!</v>
      </c>
      <c r="X41" s="176" t="e">
        <f>+#REF!+#REF!+#REF!</f>
        <v>#REF!</v>
      </c>
      <c r="Y41" s="174"/>
      <c r="Z41" s="177" t="e">
        <f>#REF!+#REF!+E41</f>
        <v>#REF!</v>
      </c>
      <c r="AA41" s="177" t="e">
        <f>#REF!</f>
        <v>#REF!</v>
      </c>
      <c r="AB41" s="177" t="e">
        <f>#REF!+#REF!+#REF!+#REF!+#REF!+#REF!</f>
        <v>#REF!</v>
      </c>
      <c r="AC41" s="177" t="e">
        <f t="shared" si="2"/>
        <v>#REF!</v>
      </c>
      <c r="AE41" s="150">
        <v>100660</v>
      </c>
      <c r="AF41" s="178" t="e">
        <f>AE41-#REF!</f>
        <v>#REF!</v>
      </c>
      <c r="AH41" s="150">
        <v>10000</v>
      </c>
      <c r="AI41" s="178" t="e">
        <f>AH41-#REF!</f>
        <v>#REF!</v>
      </c>
      <c r="AL41" s="150" t="e">
        <f>#REF!+#REF!=#REF!</f>
        <v>#REF!</v>
      </c>
    </row>
    <row r="42" spans="1:35" ht="33.75" customHeight="1">
      <c r="A42" s="171">
        <v>6315526000</v>
      </c>
      <c r="B42" s="172" t="s">
        <v>403</v>
      </c>
      <c r="C42" s="172"/>
      <c r="D42" s="172"/>
      <c r="E42" s="174"/>
      <c r="F42" s="174"/>
      <c r="G42" s="481">
        <f>30000+150000</f>
        <v>180000</v>
      </c>
      <c r="H42" s="481"/>
      <c r="I42" s="481"/>
      <c r="J42" s="481">
        <v>42400</v>
      </c>
      <c r="K42" s="481"/>
      <c r="L42" s="481">
        <f t="shared" si="0"/>
        <v>899765</v>
      </c>
      <c r="M42" s="481">
        <v>597840</v>
      </c>
      <c r="N42" s="481"/>
      <c r="O42" s="481">
        <v>301925</v>
      </c>
      <c r="P42" s="481">
        <f t="shared" si="1"/>
        <v>0</v>
      </c>
      <c r="Q42" s="481"/>
      <c r="R42" s="481"/>
      <c r="S42" s="481"/>
      <c r="T42" s="481"/>
      <c r="U42" s="481"/>
      <c r="V42" s="481">
        <f t="shared" si="3"/>
        <v>1079765</v>
      </c>
      <c r="W42" s="175"/>
      <c r="X42" s="176"/>
      <c r="Y42" s="174"/>
      <c r="Z42" s="177"/>
      <c r="AA42" s="177"/>
      <c r="AB42" s="177"/>
      <c r="AC42" s="177"/>
      <c r="AF42" s="178"/>
      <c r="AI42" s="178"/>
    </row>
    <row r="43" spans="1:35" ht="30.75" customHeight="1">
      <c r="A43" s="171">
        <v>6315527000</v>
      </c>
      <c r="B43" s="172" t="s">
        <v>404</v>
      </c>
      <c r="C43" s="172"/>
      <c r="D43" s="172"/>
      <c r="E43" s="174"/>
      <c r="F43" s="174"/>
      <c r="G43" s="481">
        <f>30000+100000</f>
        <v>130000</v>
      </c>
      <c r="H43" s="481"/>
      <c r="I43" s="481"/>
      <c r="J43" s="481">
        <f>42400</f>
        <v>42400</v>
      </c>
      <c r="K43" s="481"/>
      <c r="L43" s="481">
        <f t="shared" si="0"/>
        <v>211120</v>
      </c>
      <c r="M43" s="481"/>
      <c r="N43" s="481"/>
      <c r="O43" s="481">
        <v>211120</v>
      </c>
      <c r="P43" s="481">
        <f t="shared" si="1"/>
        <v>0</v>
      </c>
      <c r="Q43" s="481"/>
      <c r="R43" s="481"/>
      <c r="S43" s="481"/>
      <c r="T43" s="481"/>
      <c r="U43" s="481"/>
      <c r="V43" s="481">
        <f t="shared" si="3"/>
        <v>341120</v>
      </c>
      <c r="W43" s="175"/>
      <c r="X43" s="176"/>
      <c r="Y43" s="174"/>
      <c r="Z43" s="177"/>
      <c r="AA43" s="177"/>
      <c r="AB43" s="177"/>
      <c r="AC43" s="177"/>
      <c r="AF43" s="178"/>
      <c r="AI43" s="178"/>
    </row>
    <row r="44" spans="1:35" ht="36" customHeight="1">
      <c r="A44" s="171">
        <v>6315528000</v>
      </c>
      <c r="B44" s="172" t="s">
        <v>426</v>
      </c>
      <c r="C44" s="172"/>
      <c r="D44" s="172"/>
      <c r="E44" s="174"/>
      <c r="F44" s="174"/>
      <c r="G44" s="481">
        <f>30000+100000</f>
        <v>130000</v>
      </c>
      <c r="H44" s="481"/>
      <c r="I44" s="481"/>
      <c r="J44" s="481">
        <f>42400</f>
        <v>42400</v>
      </c>
      <c r="K44" s="481"/>
      <c r="L44" s="481">
        <f t="shared" si="0"/>
        <v>61315</v>
      </c>
      <c r="M44" s="481"/>
      <c r="N44" s="481"/>
      <c r="O44" s="481">
        <v>61315</v>
      </c>
      <c r="P44" s="481">
        <f t="shared" si="1"/>
        <v>0</v>
      </c>
      <c r="Q44" s="481"/>
      <c r="R44" s="481"/>
      <c r="S44" s="481"/>
      <c r="T44" s="481"/>
      <c r="U44" s="481"/>
      <c r="V44" s="481">
        <f t="shared" si="3"/>
        <v>191315</v>
      </c>
      <c r="W44" s="175"/>
      <c r="X44" s="176"/>
      <c r="Y44" s="174"/>
      <c r="Z44" s="177"/>
      <c r="AA44" s="177"/>
      <c r="AB44" s="177"/>
      <c r="AC44" s="177"/>
      <c r="AF44" s="178"/>
      <c r="AI44" s="178"/>
    </row>
    <row r="45" spans="1:35" ht="31.5" customHeight="1">
      <c r="A45" s="171">
        <v>6315529000</v>
      </c>
      <c r="B45" s="172" t="s">
        <v>427</v>
      </c>
      <c r="C45" s="172"/>
      <c r="D45" s="172"/>
      <c r="E45" s="174"/>
      <c r="F45" s="174"/>
      <c r="G45" s="481">
        <f>30000+50000</f>
        <v>80000</v>
      </c>
      <c r="H45" s="481"/>
      <c r="I45" s="481"/>
      <c r="J45" s="481">
        <v>42400</v>
      </c>
      <c r="K45" s="481"/>
      <c r="L45" s="481">
        <f t="shared" si="0"/>
        <v>142540</v>
      </c>
      <c r="M45" s="481">
        <v>45380</v>
      </c>
      <c r="N45" s="481"/>
      <c r="O45" s="481">
        <v>97160</v>
      </c>
      <c r="P45" s="481">
        <f t="shared" si="1"/>
        <v>0</v>
      </c>
      <c r="Q45" s="481"/>
      <c r="R45" s="481"/>
      <c r="S45" s="481"/>
      <c r="T45" s="481"/>
      <c r="U45" s="481"/>
      <c r="V45" s="481">
        <f t="shared" si="3"/>
        <v>222540</v>
      </c>
      <c r="W45" s="175"/>
      <c r="X45" s="176"/>
      <c r="Y45" s="174"/>
      <c r="Z45" s="177"/>
      <c r="AA45" s="177"/>
      <c r="AB45" s="177"/>
      <c r="AC45" s="177"/>
      <c r="AF45" s="178"/>
      <c r="AI45" s="178"/>
    </row>
    <row r="46" spans="1:38" ht="30.75" customHeight="1">
      <c r="A46" s="171">
        <v>6315530000</v>
      </c>
      <c r="B46" s="172" t="s">
        <v>428</v>
      </c>
      <c r="C46" s="172"/>
      <c r="D46" s="172"/>
      <c r="E46" s="174"/>
      <c r="F46" s="174"/>
      <c r="G46" s="481">
        <f>30000+50000</f>
        <v>80000</v>
      </c>
      <c r="H46" s="481"/>
      <c r="I46" s="481"/>
      <c r="J46" s="481">
        <f>290000+42400</f>
        <v>332400</v>
      </c>
      <c r="K46" s="481"/>
      <c r="L46" s="481">
        <f t="shared" si="0"/>
        <v>156610</v>
      </c>
      <c r="M46" s="481">
        <v>60650</v>
      </c>
      <c r="N46" s="481"/>
      <c r="O46" s="481">
        <v>95960</v>
      </c>
      <c r="P46" s="481">
        <f t="shared" si="1"/>
        <v>0</v>
      </c>
      <c r="Q46" s="481"/>
      <c r="R46" s="481"/>
      <c r="S46" s="481"/>
      <c r="T46" s="481"/>
      <c r="U46" s="481"/>
      <c r="V46" s="481">
        <f t="shared" si="3"/>
        <v>236610</v>
      </c>
      <c r="W46" s="175" t="e">
        <f>+L46+M46+#REF!+#REF!+#REF!+#REF!+#REF!+#REF!+#REF!+#REF!+#REF!+#REF!+#REF!+#REF!+#REF!</f>
        <v>#REF!</v>
      </c>
      <c r="X46" s="176" t="e">
        <f>+#REF!+#REF!+#REF!</f>
        <v>#REF!</v>
      </c>
      <c r="Y46" s="174"/>
      <c r="Z46" s="177" t="e">
        <f>#REF!+#REF!+E46</f>
        <v>#REF!</v>
      </c>
      <c r="AA46" s="177" t="e">
        <f>#REF!</f>
        <v>#REF!</v>
      </c>
      <c r="AB46" s="177" t="e">
        <f>#REF!+#REF!+#REF!+#REF!+#REF!+#REF!</f>
        <v>#REF!</v>
      </c>
      <c r="AC46" s="177" t="e">
        <f t="shared" si="2"/>
        <v>#REF!</v>
      </c>
      <c r="AE46" s="150">
        <v>60929</v>
      </c>
      <c r="AF46" s="178" t="e">
        <f>AE46-#REF!</f>
        <v>#REF!</v>
      </c>
      <c r="AH46" s="150">
        <v>130000</v>
      </c>
      <c r="AI46" s="178" t="e">
        <f>AH46-#REF!</f>
        <v>#REF!</v>
      </c>
      <c r="AL46" s="150" t="e">
        <f>#REF!+#REF!=#REF!</f>
        <v>#REF!</v>
      </c>
    </row>
    <row r="47" spans="1:38" ht="32.25" customHeight="1">
      <c r="A47" s="171">
        <v>6315531000</v>
      </c>
      <c r="B47" s="172" t="s">
        <v>429</v>
      </c>
      <c r="C47" s="172"/>
      <c r="D47" s="172"/>
      <c r="E47" s="174"/>
      <c r="F47" s="174"/>
      <c r="G47" s="481">
        <f>30000+50000</f>
        <v>80000</v>
      </c>
      <c r="H47" s="481"/>
      <c r="I47" s="481"/>
      <c r="J47" s="481">
        <f>42400</f>
        <v>42400</v>
      </c>
      <c r="K47" s="481"/>
      <c r="L47" s="481">
        <f t="shared" si="0"/>
        <v>425210</v>
      </c>
      <c r="M47" s="481">
        <v>107820</v>
      </c>
      <c r="N47" s="481"/>
      <c r="O47" s="481">
        <v>317390</v>
      </c>
      <c r="P47" s="481">
        <f t="shared" si="1"/>
        <v>0</v>
      </c>
      <c r="Q47" s="481"/>
      <c r="R47" s="481"/>
      <c r="S47" s="481"/>
      <c r="T47" s="481"/>
      <c r="U47" s="481"/>
      <c r="V47" s="481">
        <f t="shared" si="3"/>
        <v>505210</v>
      </c>
      <c r="W47" s="175" t="e">
        <f>+L47+M47+#REF!+#REF!+#REF!+#REF!+#REF!+#REF!+#REF!+#REF!+#REF!+#REF!+#REF!+#REF!+#REF!</f>
        <v>#REF!</v>
      </c>
      <c r="X47" s="176" t="e">
        <f>+#REF!+#REF!+#REF!</f>
        <v>#REF!</v>
      </c>
      <c r="Y47" s="174"/>
      <c r="Z47" s="177" t="e">
        <f>#REF!+#REF!+E47</f>
        <v>#REF!</v>
      </c>
      <c r="AA47" s="177" t="e">
        <f>#REF!</f>
        <v>#REF!</v>
      </c>
      <c r="AB47" s="177" t="e">
        <f>#REF!+#REF!+#REF!+#REF!+#REF!+#REF!</f>
        <v>#REF!</v>
      </c>
      <c r="AC47" s="177" t="e">
        <f t="shared" si="2"/>
        <v>#REF!</v>
      </c>
      <c r="AE47" s="208">
        <v>197751</v>
      </c>
      <c r="AF47" s="178" t="e">
        <f>AE47-#REF!</f>
        <v>#REF!</v>
      </c>
      <c r="AH47" s="150">
        <v>340000</v>
      </c>
      <c r="AI47" s="178" t="e">
        <f>AH47-#REF!</f>
        <v>#REF!</v>
      </c>
      <c r="AL47" s="150" t="e">
        <f>#REF!+#REF!=#REF!</f>
        <v>#REF!</v>
      </c>
    </row>
    <row r="48" spans="1:38" ht="32.25" customHeight="1">
      <c r="A48" s="171">
        <v>6315532000</v>
      </c>
      <c r="B48" s="172" t="s">
        <v>430</v>
      </c>
      <c r="C48" s="172"/>
      <c r="D48" s="172"/>
      <c r="E48" s="174"/>
      <c r="F48" s="174"/>
      <c r="G48" s="481">
        <f>30000+100000</f>
        <v>130000</v>
      </c>
      <c r="H48" s="481"/>
      <c r="I48" s="481"/>
      <c r="J48" s="481">
        <f>42400</f>
        <v>42400</v>
      </c>
      <c r="K48" s="481"/>
      <c r="L48" s="481">
        <f t="shared" si="0"/>
        <v>98710</v>
      </c>
      <c r="M48" s="481"/>
      <c r="N48" s="481"/>
      <c r="O48" s="481">
        <v>98710</v>
      </c>
      <c r="P48" s="481">
        <f t="shared" si="1"/>
        <v>0</v>
      </c>
      <c r="Q48" s="481"/>
      <c r="R48" s="481"/>
      <c r="S48" s="481"/>
      <c r="T48" s="481"/>
      <c r="U48" s="481"/>
      <c r="V48" s="481">
        <f t="shared" si="3"/>
        <v>228710</v>
      </c>
      <c r="W48" s="175" t="e">
        <f>+L48+M48+#REF!+#REF!+#REF!+#REF!+#REF!+#REF!+#REF!+#REF!+#REF!+#REF!+#REF!+#REF!+#REF!</f>
        <v>#REF!</v>
      </c>
      <c r="X48" s="176" t="e">
        <f>+#REF!+#REF!+#REF!</f>
        <v>#REF!</v>
      </c>
      <c r="Y48" s="174"/>
      <c r="Z48" s="177" t="e">
        <f>#REF!+#REF!+E48</f>
        <v>#REF!</v>
      </c>
      <c r="AA48" s="177" t="e">
        <f>#REF!</f>
        <v>#REF!</v>
      </c>
      <c r="AB48" s="177" t="e">
        <f>#REF!+#REF!+#REF!+#REF!+#REF!+#REF!</f>
        <v>#REF!</v>
      </c>
      <c r="AC48" s="177" t="e">
        <f t="shared" si="2"/>
        <v>#REF!</v>
      </c>
      <c r="AE48" s="150">
        <v>287041</v>
      </c>
      <c r="AF48" s="178" t="e">
        <f>AE48-#REF!</f>
        <v>#REF!</v>
      </c>
      <c r="AH48" s="150">
        <v>21677</v>
      </c>
      <c r="AI48" s="178" t="e">
        <f>AH48-#REF!</f>
        <v>#REF!</v>
      </c>
      <c r="AL48" s="150" t="e">
        <f>#REF!+#REF!=#REF!</f>
        <v>#REF!</v>
      </c>
    </row>
    <row r="49" spans="1:38" s="208" customFormat="1" ht="30.75" customHeight="1">
      <c r="A49" s="171">
        <v>6315533000</v>
      </c>
      <c r="B49" s="172" t="s">
        <v>431</v>
      </c>
      <c r="C49" s="172"/>
      <c r="D49" s="172"/>
      <c r="E49" s="179"/>
      <c r="F49" s="179"/>
      <c r="G49" s="483">
        <f>30000+50000</f>
        <v>80000</v>
      </c>
      <c r="H49" s="483"/>
      <c r="I49" s="483"/>
      <c r="J49" s="483">
        <v>42400</v>
      </c>
      <c r="K49" s="483"/>
      <c r="L49" s="481">
        <f t="shared" si="0"/>
        <v>55580</v>
      </c>
      <c r="M49" s="481"/>
      <c r="N49" s="481"/>
      <c r="O49" s="481">
        <v>55580</v>
      </c>
      <c r="P49" s="481">
        <f>Q49+50000</f>
        <v>50000</v>
      </c>
      <c r="Q49" s="481"/>
      <c r="R49" s="481"/>
      <c r="S49" s="483"/>
      <c r="T49" s="483"/>
      <c r="U49" s="483"/>
      <c r="V49" s="481">
        <f t="shared" si="3"/>
        <v>135580</v>
      </c>
      <c r="W49" s="210" t="e">
        <f>SUM(W22:W48)</f>
        <v>#REF!</v>
      </c>
      <c r="X49" s="210" t="e">
        <f aca="true" t="shared" si="4" ref="X49:AC49">SUM(X22:X48)</f>
        <v>#REF!</v>
      </c>
      <c r="Y49" s="210">
        <f t="shared" si="4"/>
        <v>0</v>
      </c>
      <c r="Z49" s="210" t="e">
        <f t="shared" si="4"/>
        <v>#REF!</v>
      </c>
      <c r="AA49" s="210" t="e">
        <f t="shared" si="4"/>
        <v>#REF!</v>
      </c>
      <c r="AB49" s="210" t="e">
        <f t="shared" si="4"/>
        <v>#REF!</v>
      </c>
      <c r="AC49" s="210" t="e">
        <f t="shared" si="4"/>
        <v>#REF!</v>
      </c>
      <c r="AE49" s="150">
        <v>4317591</v>
      </c>
      <c r="AF49" s="178" t="e">
        <f>AE49-#REF!</f>
        <v>#REF!</v>
      </c>
      <c r="AH49" s="208">
        <v>2058659</v>
      </c>
      <c r="AI49" s="178" t="e">
        <f>AH49-#REF!</f>
        <v>#REF!</v>
      </c>
      <c r="AL49" s="150" t="e">
        <f>#REF!+#REF!=#REF!</f>
        <v>#REF!</v>
      </c>
    </row>
    <row r="50" spans="1:38" ht="33.75" customHeight="1">
      <c r="A50" s="171">
        <v>6315534000</v>
      </c>
      <c r="B50" s="172" t="s">
        <v>432</v>
      </c>
      <c r="C50" s="172"/>
      <c r="D50" s="172"/>
      <c r="E50" s="179"/>
      <c r="F50" s="179"/>
      <c r="G50" s="483">
        <f>30000+50000</f>
        <v>80000</v>
      </c>
      <c r="H50" s="483"/>
      <c r="I50" s="483"/>
      <c r="J50" s="483">
        <f>42400</f>
        <v>42400</v>
      </c>
      <c r="K50" s="483"/>
      <c r="L50" s="481">
        <v>261710</v>
      </c>
      <c r="M50" s="481">
        <v>113200</v>
      </c>
      <c r="N50" s="481"/>
      <c r="O50" s="484">
        <v>148510</v>
      </c>
      <c r="P50" s="481">
        <f t="shared" si="1"/>
        <v>0</v>
      </c>
      <c r="Q50" s="484"/>
      <c r="R50" s="484"/>
      <c r="S50" s="483"/>
      <c r="T50" s="483"/>
      <c r="U50" s="483"/>
      <c r="V50" s="481">
        <f t="shared" si="3"/>
        <v>341710</v>
      </c>
      <c r="W50" s="210" t="e">
        <f>W49+W21</f>
        <v>#REF!</v>
      </c>
      <c r="X50" s="210" t="e">
        <f aca="true" t="shared" si="5" ref="X50:AC50">X49+X21</f>
        <v>#REF!</v>
      </c>
      <c r="Y50" s="210">
        <f t="shared" si="5"/>
        <v>0</v>
      </c>
      <c r="Z50" s="210" t="e">
        <f t="shared" si="5"/>
        <v>#REF!</v>
      </c>
      <c r="AA50" s="210" t="e">
        <f t="shared" si="5"/>
        <v>#REF!</v>
      </c>
      <c r="AB50" s="210" t="e">
        <f t="shared" si="5"/>
        <v>#REF!</v>
      </c>
      <c r="AC50" s="210" t="e">
        <f t="shared" si="5"/>
        <v>#REF!</v>
      </c>
      <c r="AE50" s="150">
        <v>7351176</v>
      </c>
      <c r="AF50" s="178" t="e">
        <f>AE50-#REF!</f>
        <v>#REF!</v>
      </c>
      <c r="AH50" s="150">
        <v>14355536</v>
      </c>
      <c r="AI50" s="178" t="e">
        <f>AH50-#REF!</f>
        <v>#REF!</v>
      </c>
      <c r="AL50" s="150" t="e">
        <f>#REF!+#REF!=#REF!</f>
        <v>#REF!</v>
      </c>
    </row>
    <row r="51" spans="1:38" ht="31.5" customHeight="1">
      <c r="A51" s="171">
        <v>6315535000</v>
      </c>
      <c r="B51" s="172" t="s">
        <v>433</v>
      </c>
      <c r="C51" s="172"/>
      <c r="D51" s="172"/>
      <c r="E51" s="180"/>
      <c r="F51" s="180"/>
      <c r="G51" s="485">
        <f>30000+100000</f>
        <v>130000</v>
      </c>
      <c r="H51" s="485"/>
      <c r="I51" s="485"/>
      <c r="J51" s="485">
        <f>42400</f>
        <v>42400</v>
      </c>
      <c r="K51" s="485"/>
      <c r="L51" s="481">
        <f>M51+O51</f>
        <v>97710</v>
      </c>
      <c r="M51" s="481"/>
      <c r="N51" s="481"/>
      <c r="O51" s="484">
        <v>97710</v>
      </c>
      <c r="P51" s="481">
        <f t="shared" si="1"/>
        <v>0</v>
      </c>
      <c r="Q51" s="484"/>
      <c r="R51" s="484"/>
      <c r="S51" s="485"/>
      <c r="T51" s="485">
        <v>150000</v>
      </c>
      <c r="U51" s="485"/>
      <c r="V51" s="481">
        <f>L51+T51+G51</f>
        <v>377710</v>
      </c>
      <c r="W51" s="175"/>
      <c r="X51" s="174"/>
      <c r="Y51" s="209"/>
      <c r="Z51" s="177" t="e">
        <f>#REF!+#REF!+E51</f>
        <v>#REF!</v>
      </c>
      <c r="AA51" s="177" t="e">
        <f>#REF!</f>
        <v>#REF!</v>
      </c>
      <c r="AB51" s="177" t="e">
        <f>#REF!</f>
        <v>#REF!</v>
      </c>
      <c r="AC51" s="181" t="e">
        <f t="shared" si="2"/>
        <v>#REF!</v>
      </c>
      <c r="AD51" s="161"/>
      <c r="AE51" s="161">
        <v>0</v>
      </c>
      <c r="AF51" s="178" t="e">
        <f>AE51-#REF!</f>
        <v>#REF!</v>
      </c>
      <c r="AH51" s="150">
        <v>300000</v>
      </c>
      <c r="AI51" s="178" t="e">
        <f>AH51-#REF!</f>
        <v>#REF!</v>
      </c>
      <c r="AL51" s="150" t="e">
        <f>#REF!+#REF!=#REF!</f>
        <v>#REF!</v>
      </c>
    </row>
    <row r="52" spans="1:35" ht="30.75" customHeight="1">
      <c r="A52" s="171">
        <v>6315536000</v>
      </c>
      <c r="B52" s="182" t="s">
        <v>434</v>
      </c>
      <c r="C52" s="182"/>
      <c r="D52" s="182"/>
      <c r="E52" s="180"/>
      <c r="F52" s="180"/>
      <c r="G52" s="485">
        <f>30000+50000+50000</f>
        <v>130000</v>
      </c>
      <c r="H52" s="485"/>
      <c r="I52" s="485"/>
      <c r="J52" s="485">
        <v>42400</v>
      </c>
      <c r="K52" s="485"/>
      <c r="L52" s="481">
        <f>M52+O52</f>
        <v>137590</v>
      </c>
      <c r="M52" s="481">
        <v>58820</v>
      </c>
      <c r="N52" s="481"/>
      <c r="O52" s="484">
        <v>78770</v>
      </c>
      <c r="P52" s="481">
        <f>Q52+10000</f>
        <v>10000</v>
      </c>
      <c r="Q52" s="484"/>
      <c r="R52" s="484"/>
      <c r="S52" s="485"/>
      <c r="T52" s="485"/>
      <c r="U52" s="485"/>
      <c r="V52" s="481">
        <f>L52+G52</f>
        <v>267590</v>
      </c>
      <c r="W52" s="175"/>
      <c r="X52" s="174"/>
      <c r="Y52" s="209"/>
      <c r="Z52" s="177"/>
      <c r="AA52" s="177"/>
      <c r="AB52" s="177"/>
      <c r="AC52" s="181"/>
      <c r="AD52" s="161"/>
      <c r="AE52" s="161">
        <v>7351176</v>
      </c>
      <c r="AF52" s="178"/>
      <c r="AH52" s="150">
        <v>14655536</v>
      </c>
      <c r="AI52" s="178"/>
    </row>
    <row r="53" spans="1:38" ht="25.5" customHeight="1" hidden="1">
      <c r="A53" s="171">
        <v>6315537000</v>
      </c>
      <c r="B53" s="182" t="s">
        <v>435</v>
      </c>
      <c r="C53" s="182"/>
      <c r="D53" s="182"/>
      <c r="E53" s="180"/>
      <c r="F53" s="180"/>
      <c r="G53" s="485"/>
      <c r="H53" s="485"/>
      <c r="I53" s="485"/>
      <c r="J53" s="485">
        <v>42400</v>
      </c>
      <c r="K53" s="485"/>
      <c r="L53" s="481">
        <f>M53+O53</f>
        <v>0</v>
      </c>
      <c r="M53" s="481">
        <v>0</v>
      </c>
      <c r="N53" s="481"/>
      <c r="O53" s="484">
        <v>0</v>
      </c>
      <c r="P53" s="481">
        <v>26000</v>
      </c>
      <c r="Q53" s="484"/>
      <c r="R53" s="484"/>
      <c r="S53" s="485"/>
      <c r="T53" s="485"/>
      <c r="U53" s="485"/>
      <c r="V53" s="481">
        <f>L53</f>
        <v>0</v>
      </c>
      <c r="W53" s="209" t="e">
        <f>+W50+W51</f>
        <v>#REF!</v>
      </c>
      <c r="X53" s="209" t="e">
        <f aca="true" t="shared" si="6" ref="X53:AC53">+X50+X51</f>
        <v>#REF!</v>
      </c>
      <c r="Y53" s="209">
        <f t="shared" si="6"/>
        <v>0</v>
      </c>
      <c r="Z53" s="209" t="e">
        <f t="shared" si="6"/>
        <v>#REF!</v>
      </c>
      <c r="AA53" s="209" t="e">
        <f t="shared" si="6"/>
        <v>#REF!</v>
      </c>
      <c r="AB53" s="209" t="e">
        <f t="shared" si="6"/>
        <v>#REF!</v>
      </c>
      <c r="AC53" s="211" t="e">
        <f t="shared" si="6"/>
        <v>#REF!</v>
      </c>
      <c r="AD53" s="212">
        <f>+AD50+AD51</f>
        <v>0</v>
      </c>
      <c r="AE53" s="212">
        <f>+AE50+AE51</f>
        <v>7351176</v>
      </c>
      <c r="AF53" s="178" t="e">
        <f>AE53-#REF!</f>
        <v>#REF!</v>
      </c>
      <c r="AG53" s="178"/>
      <c r="AH53" s="178" t="e">
        <f>AG53-#REF!</f>
        <v>#REF!</v>
      </c>
      <c r="AI53" s="178" t="e">
        <f>AH53-#REF!</f>
        <v>#REF!</v>
      </c>
      <c r="AL53" s="150" t="e">
        <f>#REF!+#REF!=#REF!</f>
        <v>#REF!</v>
      </c>
    </row>
    <row r="54" spans="1:35" ht="23.25" customHeight="1" hidden="1">
      <c r="A54" s="171">
        <v>6315538000</v>
      </c>
      <c r="B54" s="182" t="s">
        <v>436</v>
      </c>
      <c r="C54" s="183">
        <v>175000</v>
      </c>
      <c r="D54" s="183"/>
      <c r="E54" s="180"/>
      <c r="F54" s="180"/>
      <c r="G54" s="485"/>
      <c r="H54" s="485"/>
      <c r="I54" s="485"/>
      <c r="J54" s="485">
        <v>42400</v>
      </c>
      <c r="K54" s="485"/>
      <c r="L54" s="481">
        <f>M54+O54</f>
        <v>0</v>
      </c>
      <c r="M54" s="481">
        <v>0</v>
      </c>
      <c r="N54" s="481"/>
      <c r="O54" s="484">
        <v>0</v>
      </c>
      <c r="P54" s="481">
        <f t="shared" si="1"/>
        <v>0</v>
      </c>
      <c r="Q54" s="484"/>
      <c r="R54" s="484"/>
      <c r="S54" s="485"/>
      <c r="T54" s="485"/>
      <c r="U54" s="485"/>
      <c r="V54" s="481">
        <f>L54</f>
        <v>0</v>
      </c>
      <c r="W54" s="212"/>
      <c r="X54" s="212"/>
      <c r="Y54" s="212"/>
      <c r="Z54" s="212"/>
      <c r="AA54" s="212"/>
      <c r="AB54" s="212"/>
      <c r="AC54" s="212"/>
      <c r="AD54" s="212"/>
      <c r="AE54" s="212"/>
      <c r="AF54" s="178"/>
      <c r="AG54" s="178"/>
      <c r="AH54" s="178"/>
      <c r="AI54" s="178"/>
    </row>
    <row r="55" spans="1:35" ht="21" customHeight="1">
      <c r="A55" s="171">
        <v>6315539000</v>
      </c>
      <c r="B55" s="182" t="s">
        <v>437</v>
      </c>
      <c r="C55" s="182"/>
      <c r="D55" s="182"/>
      <c r="E55" s="180"/>
      <c r="F55" s="180"/>
      <c r="G55" s="485">
        <v>100000</v>
      </c>
      <c r="H55" s="485"/>
      <c r="I55" s="485"/>
      <c r="J55" s="485">
        <f>42400+505300</f>
        <v>547700</v>
      </c>
      <c r="K55" s="485"/>
      <c r="L55" s="481">
        <f>M55+O55+20000</f>
        <v>1370740</v>
      </c>
      <c r="M55" s="481">
        <v>1073530</v>
      </c>
      <c r="N55" s="486">
        <f>250000-48335</f>
        <v>201665</v>
      </c>
      <c r="O55" s="487">
        <v>277210</v>
      </c>
      <c r="P55" s="481">
        <f>Q55+119000+166097+86000</f>
        <v>371097</v>
      </c>
      <c r="Q55" s="487"/>
      <c r="R55" s="487"/>
      <c r="S55" s="485"/>
      <c r="T55" s="485">
        <f>263000+62458</f>
        <v>325458</v>
      </c>
      <c r="U55" s="485"/>
      <c r="V55" s="481">
        <f>L55+T55+G55</f>
        <v>1796198</v>
      </c>
      <c r="W55" s="212"/>
      <c r="X55" s="212"/>
      <c r="Y55" s="212"/>
      <c r="Z55" s="212"/>
      <c r="AA55" s="212"/>
      <c r="AB55" s="212"/>
      <c r="AC55" s="212"/>
      <c r="AD55" s="212"/>
      <c r="AE55" s="212"/>
      <c r="AF55" s="178"/>
      <c r="AG55" s="178"/>
      <c r="AH55" s="178"/>
      <c r="AI55" s="178"/>
    </row>
    <row r="56" spans="1:35" ht="21" customHeight="1" hidden="1">
      <c r="A56" s="171"/>
      <c r="B56" s="182" t="s">
        <v>439</v>
      </c>
      <c r="C56" s="182"/>
      <c r="D56" s="182"/>
      <c r="E56" s="180"/>
      <c r="F56" s="180"/>
      <c r="G56" s="485"/>
      <c r="H56" s="485"/>
      <c r="I56" s="485"/>
      <c r="J56" s="485"/>
      <c r="K56" s="485"/>
      <c r="L56" s="481"/>
      <c r="M56" s="481"/>
      <c r="N56" s="486"/>
      <c r="O56" s="487"/>
      <c r="P56" s="481"/>
      <c r="Q56" s="487"/>
      <c r="R56" s="487"/>
      <c r="S56" s="485"/>
      <c r="T56" s="485"/>
      <c r="U56" s="485"/>
      <c r="V56" s="481"/>
      <c r="W56" s="212"/>
      <c r="X56" s="212"/>
      <c r="Y56" s="212"/>
      <c r="Z56" s="212"/>
      <c r="AA56" s="212"/>
      <c r="AB56" s="212"/>
      <c r="AC56" s="212"/>
      <c r="AD56" s="212"/>
      <c r="AE56" s="212"/>
      <c r="AF56" s="178"/>
      <c r="AG56" s="178"/>
      <c r="AH56" s="178"/>
      <c r="AI56" s="178"/>
    </row>
    <row r="57" spans="1:35" ht="21" customHeight="1">
      <c r="A57" s="171"/>
      <c r="B57" s="182" t="s">
        <v>439</v>
      </c>
      <c r="C57" s="182"/>
      <c r="D57" s="182"/>
      <c r="E57" s="180"/>
      <c r="F57" s="180"/>
      <c r="G57" s="485"/>
      <c r="H57" s="485"/>
      <c r="I57" s="485"/>
      <c r="J57" s="485"/>
      <c r="K57" s="485"/>
      <c r="L57" s="481">
        <f>7600+3000</f>
        <v>10600</v>
      </c>
      <c r="M57" s="481"/>
      <c r="N57" s="486"/>
      <c r="O57" s="487"/>
      <c r="P57" s="481"/>
      <c r="Q57" s="487"/>
      <c r="R57" s="487"/>
      <c r="S57" s="485"/>
      <c r="T57" s="485">
        <v>480000</v>
      </c>
      <c r="U57" s="485"/>
      <c r="V57" s="481">
        <f>480000+L57</f>
        <v>490600</v>
      </c>
      <c r="W57" s="212"/>
      <c r="X57" s="212"/>
      <c r="Y57" s="212"/>
      <c r="Z57" s="212"/>
      <c r="AA57" s="212"/>
      <c r="AB57" s="212"/>
      <c r="AC57" s="212"/>
      <c r="AD57" s="212"/>
      <c r="AE57" s="212"/>
      <c r="AF57" s="178"/>
      <c r="AG57" s="178"/>
      <c r="AH57" s="178"/>
      <c r="AI57" s="178"/>
    </row>
    <row r="58" spans="1:35" ht="20.25" customHeight="1">
      <c r="A58" s="184"/>
      <c r="B58" s="185" t="s">
        <v>438</v>
      </c>
      <c r="C58" s="185"/>
      <c r="D58" s="185"/>
      <c r="E58" s="485">
        <v>1723867</v>
      </c>
      <c r="F58" s="485">
        <f>306133+50000+20000+150000+50000+10000</f>
        <v>586133</v>
      </c>
      <c r="G58" s="485"/>
      <c r="H58" s="485"/>
      <c r="I58" s="485">
        <f>17752000+405009</f>
        <v>18157009</v>
      </c>
      <c r="J58" s="485"/>
      <c r="K58" s="485"/>
      <c r="L58" s="481">
        <v>707100</v>
      </c>
      <c r="M58" s="481"/>
      <c r="N58" s="481"/>
      <c r="O58" s="484"/>
      <c r="P58" s="481">
        <f t="shared" si="1"/>
        <v>0</v>
      </c>
      <c r="Q58" s="484"/>
      <c r="R58" s="484"/>
      <c r="S58" s="485">
        <f>304000+10000</f>
        <v>314000</v>
      </c>
      <c r="T58" s="485">
        <v>150000</v>
      </c>
      <c r="U58" s="485">
        <f>530000+80000+50000</f>
        <v>660000</v>
      </c>
      <c r="V58" s="481">
        <f>E58+I58+L58+F58+U58+T58</f>
        <v>21984109</v>
      </c>
      <c r="W58" s="212"/>
      <c r="X58" s="212"/>
      <c r="Y58" s="212"/>
      <c r="Z58" s="212"/>
      <c r="AA58" s="212"/>
      <c r="AB58" s="212"/>
      <c r="AC58" s="212"/>
      <c r="AD58" s="212"/>
      <c r="AE58" s="212"/>
      <c r="AF58" s="178"/>
      <c r="AG58" s="178"/>
      <c r="AH58" s="178"/>
      <c r="AI58" s="178"/>
    </row>
    <row r="59" spans="1:35" ht="20.25" customHeight="1" thickBot="1">
      <c r="A59" s="422"/>
      <c r="B59" s="423" t="s">
        <v>545</v>
      </c>
      <c r="C59" s="423"/>
      <c r="D59" s="423"/>
      <c r="E59" s="424"/>
      <c r="F59" s="424"/>
      <c r="G59" s="488"/>
      <c r="H59" s="488">
        <f>285600+46000+8000+30000+20000+29900+23000-9600</f>
        <v>432900</v>
      </c>
      <c r="I59" s="488"/>
      <c r="J59" s="488"/>
      <c r="K59" s="488"/>
      <c r="L59" s="489"/>
      <c r="M59" s="489"/>
      <c r="N59" s="489"/>
      <c r="O59" s="490"/>
      <c r="P59" s="489"/>
      <c r="Q59" s="490"/>
      <c r="R59" s="490"/>
      <c r="S59" s="488"/>
      <c r="T59" s="488"/>
      <c r="U59" s="488"/>
      <c r="V59" s="489">
        <f>H59</f>
        <v>432900</v>
      </c>
      <c r="W59" s="212"/>
      <c r="X59" s="212"/>
      <c r="Y59" s="212"/>
      <c r="Z59" s="212"/>
      <c r="AA59" s="212"/>
      <c r="AB59" s="212"/>
      <c r="AC59" s="212"/>
      <c r="AD59" s="212"/>
      <c r="AE59" s="212"/>
      <c r="AF59" s="178"/>
      <c r="AG59" s="178"/>
      <c r="AH59" s="178"/>
      <c r="AI59" s="178"/>
    </row>
    <row r="60" spans="1:35" ht="20.25" customHeight="1" thickBot="1">
      <c r="A60" s="426"/>
      <c r="B60" s="427" t="s">
        <v>544</v>
      </c>
      <c r="C60" s="427"/>
      <c r="D60" s="427"/>
      <c r="E60" s="428"/>
      <c r="F60" s="428"/>
      <c r="G60" s="491"/>
      <c r="H60" s="491"/>
      <c r="I60" s="491"/>
      <c r="J60" s="491"/>
      <c r="K60" s="491"/>
      <c r="L60" s="492">
        <f>1170000+20000+4000</f>
        <v>1194000</v>
      </c>
      <c r="M60" s="492"/>
      <c r="N60" s="492"/>
      <c r="O60" s="493"/>
      <c r="P60" s="492"/>
      <c r="Q60" s="493"/>
      <c r="R60" s="493"/>
      <c r="S60" s="491"/>
      <c r="T60" s="491"/>
      <c r="U60" s="491"/>
      <c r="V60" s="492">
        <f>L60</f>
        <v>1194000</v>
      </c>
      <c r="W60" s="212"/>
      <c r="X60" s="212"/>
      <c r="Y60" s="212"/>
      <c r="Z60" s="212"/>
      <c r="AA60" s="212"/>
      <c r="AB60" s="212"/>
      <c r="AC60" s="212"/>
      <c r="AD60" s="212"/>
      <c r="AE60" s="212"/>
      <c r="AF60" s="178"/>
      <c r="AG60" s="178"/>
      <c r="AH60" s="178"/>
      <c r="AI60" s="178"/>
    </row>
    <row r="61" spans="1:38" ht="20.25" customHeight="1" thickBot="1">
      <c r="A61" s="186"/>
      <c r="B61" s="187"/>
      <c r="C61" s="213">
        <f aca="true" t="shared" si="7" ref="C61:O61">SUM(C16:C58)</f>
        <v>373000</v>
      </c>
      <c r="D61" s="213">
        <f t="shared" si="7"/>
        <v>100000</v>
      </c>
      <c r="E61" s="495">
        <f t="shared" si="7"/>
        <v>1723867</v>
      </c>
      <c r="F61" s="495">
        <f>F58</f>
        <v>586133</v>
      </c>
      <c r="G61" s="495">
        <f>SUM(G16:G60)</f>
        <v>3250000</v>
      </c>
      <c r="H61" s="495">
        <f>H59</f>
        <v>432900</v>
      </c>
      <c r="I61" s="495">
        <f t="shared" si="7"/>
        <v>18157009</v>
      </c>
      <c r="J61" s="495">
        <f>SUM(J16:J58)</f>
        <v>4211286</v>
      </c>
      <c r="K61" s="495">
        <f>SUM(K16:K58)</f>
        <v>0</v>
      </c>
      <c r="L61" s="495">
        <f>SUM(L16:L60)</f>
        <v>16933100</v>
      </c>
      <c r="M61" s="495">
        <f t="shared" si="7"/>
        <v>9925105</v>
      </c>
      <c r="N61" s="495">
        <f t="shared" si="7"/>
        <v>201665</v>
      </c>
      <c r="O61" s="495">
        <f t="shared" si="7"/>
        <v>5026295</v>
      </c>
      <c r="P61" s="495">
        <f>SUM(P16:P58)</f>
        <v>2982147</v>
      </c>
      <c r="Q61" s="495">
        <f>SUM(Q16:Q58)</f>
        <v>200000</v>
      </c>
      <c r="R61" s="495" t="e">
        <f>#REF!</f>
        <v>#REF!</v>
      </c>
      <c r="S61" s="495">
        <f>SUM(S16:S58)</f>
        <v>314000</v>
      </c>
      <c r="T61" s="496">
        <f>T57+T24+T22+T51+T33+T55+T18+T58</f>
        <v>1228420.2</v>
      </c>
      <c r="U61" s="495">
        <f>U58</f>
        <v>660000</v>
      </c>
      <c r="V61" s="496">
        <f>SUM(V16:V60)</f>
        <v>42971429.2</v>
      </c>
      <c r="W61" s="188"/>
      <c r="X61" s="188"/>
      <c r="Y61" s="188"/>
      <c r="Z61" s="188"/>
      <c r="AA61" s="188"/>
      <c r="AB61" s="188"/>
      <c r="AC61" s="188"/>
      <c r="AD61" s="161"/>
      <c r="AE61" s="161"/>
      <c r="AI61" s="178" t="e">
        <f>AH61-#REF!</f>
        <v>#REF!</v>
      </c>
      <c r="AL61" s="150" t="e">
        <f>#REF!+#REF!=#REF!</f>
        <v>#REF!</v>
      </c>
    </row>
    <row r="62" spans="1:35" ht="20.25" customHeight="1">
      <c r="A62" s="189"/>
      <c r="B62" s="190"/>
      <c r="C62" s="190"/>
      <c r="D62" s="190"/>
      <c r="E62" s="214"/>
      <c r="F62" s="214"/>
      <c r="G62" s="214"/>
      <c r="H62" s="214"/>
      <c r="I62" s="214"/>
      <c r="J62" s="214"/>
      <c r="K62" s="214"/>
      <c r="L62" s="214"/>
      <c r="M62" s="214"/>
      <c r="N62" s="214"/>
      <c r="O62" s="214"/>
      <c r="P62" s="214"/>
      <c r="Q62" s="214"/>
      <c r="R62" s="214"/>
      <c r="S62" s="214"/>
      <c r="T62" s="214"/>
      <c r="U62" s="214"/>
      <c r="V62" s="215"/>
      <c r="W62" s="188"/>
      <c r="X62" s="188"/>
      <c r="Y62" s="188"/>
      <c r="Z62" s="188"/>
      <c r="AA62" s="188"/>
      <c r="AB62" s="188"/>
      <c r="AC62" s="188"/>
      <c r="AD62" s="161"/>
      <c r="AE62" s="161"/>
      <c r="AI62" s="178"/>
    </row>
    <row r="63" spans="1:29" ht="18.75">
      <c r="A63" s="189"/>
      <c r="B63" s="161"/>
      <c r="C63" s="161"/>
      <c r="D63" s="161"/>
      <c r="E63" s="161"/>
      <c r="F63" s="161"/>
      <c r="G63" s="161"/>
      <c r="H63" s="161"/>
      <c r="I63" s="509" t="s">
        <v>248</v>
      </c>
      <c r="J63" s="510"/>
      <c r="K63" s="510"/>
      <c r="L63" s="510"/>
      <c r="M63" s="510"/>
      <c r="N63" s="192"/>
      <c r="O63" s="192"/>
      <c r="P63" s="161" t="s">
        <v>440</v>
      </c>
      <c r="Q63" s="192"/>
      <c r="R63" s="192"/>
      <c r="S63" s="161"/>
      <c r="T63" s="561" t="s">
        <v>249</v>
      </c>
      <c r="U63" s="562"/>
      <c r="V63" s="562"/>
      <c r="X63" s="188"/>
      <c r="Y63" s="188"/>
      <c r="Z63" s="188"/>
      <c r="AA63" s="188"/>
      <c r="AB63" s="188"/>
      <c r="AC63" s="188"/>
    </row>
    <row r="64" spans="1:29" ht="36" customHeight="1">
      <c r="A64" s="161"/>
      <c r="B64" s="193"/>
      <c r="C64" s="193"/>
      <c r="D64" s="193"/>
      <c r="E64" s="194"/>
      <c r="F64" s="194"/>
      <c r="G64" s="194"/>
      <c r="H64" s="194"/>
      <c r="I64" s="194"/>
      <c r="J64" s="194"/>
      <c r="K64" s="194"/>
      <c r="L64" s="194"/>
      <c r="M64" s="194"/>
      <c r="N64" s="194"/>
      <c r="O64" s="194"/>
      <c r="P64" s="194"/>
      <c r="Q64" s="194"/>
      <c r="R64" s="194"/>
      <c r="S64" s="194" t="b">
        <f>S53=S50+S51</f>
        <v>1</v>
      </c>
      <c r="T64" s="194"/>
      <c r="U64" s="194"/>
      <c r="V64" s="195"/>
      <c r="W64" s="196"/>
      <c r="X64" s="188"/>
      <c r="Y64" s="188"/>
      <c r="Z64" s="188"/>
      <c r="AA64" s="188"/>
      <c r="AB64" s="188"/>
      <c r="AC64" s="188"/>
    </row>
  </sheetData>
  <sheetProtection/>
  <mergeCells count="39">
    <mergeCell ref="T63:V63"/>
    <mergeCell ref="J13:J15"/>
    <mergeCell ref="M4:V4"/>
    <mergeCell ref="E5:V5"/>
    <mergeCell ref="E6:M6"/>
    <mergeCell ref="F13:F15"/>
    <mergeCell ref="U13:U15"/>
    <mergeCell ref="T12:U12"/>
    <mergeCell ref="H13:H15"/>
    <mergeCell ref="G13:G15"/>
    <mergeCell ref="A8:A15"/>
    <mergeCell ref="B8:B15"/>
    <mergeCell ref="E8:T8"/>
    <mergeCell ref="V8:V15"/>
    <mergeCell ref="E12:O12"/>
    <mergeCell ref="P12:S12"/>
    <mergeCell ref="C13:C15"/>
    <mergeCell ref="D13:D15"/>
    <mergeCell ref="E13:E15"/>
    <mergeCell ref="I13:I15"/>
    <mergeCell ref="Y13:Y15"/>
    <mergeCell ref="Z13:Z15"/>
    <mergeCell ref="AA13:AA15"/>
    <mergeCell ref="K13:K15"/>
    <mergeCell ref="L13:L15"/>
    <mergeCell ref="M13:O13"/>
    <mergeCell ref="P13:P15"/>
    <mergeCell ref="R13:R15"/>
    <mergeCell ref="S13:S15"/>
    <mergeCell ref="I63:M63"/>
    <mergeCell ref="AB13:AB15"/>
    <mergeCell ref="AC13:AC15"/>
    <mergeCell ref="M14:M15"/>
    <mergeCell ref="N14:N15"/>
    <mergeCell ref="O14:O15"/>
    <mergeCell ref="Q14:Q15"/>
    <mergeCell ref="T13:T15"/>
    <mergeCell ref="W13:W15"/>
    <mergeCell ref="X13:X15"/>
  </mergeCells>
  <printOptions horizontalCentered="1"/>
  <pageMargins left="0.16" right="0" top="0.16" bottom="0.03937007874015748" header="0.15748031496062992" footer="0.15748031496062992"/>
  <pageSetup fitToHeight="0" horizontalDpi="600" verticalDpi="600" orientation="portrait" paperSize="9" scale="5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indexed="11"/>
  </sheetPr>
  <dimension ref="A1:J200"/>
  <sheetViews>
    <sheetView showGridLines="0" showZeros="0" view="pageBreakPreview" zoomScale="75" zoomScaleSheetLayoutView="75" zoomScalePageLayoutView="0" workbookViewId="0" topLeftCell="A177">
      <selection activeCell="E204" sqref="E204"/>
    </sheetView>
  </sheetViews>
  <sheetFormatPr defaultColWidth="9.33203125" defaultRowHeight="12.75"/>
  <cols>
    <col min="1" max="1" width="25.5" style="150" customWidth="1"/>
    <col min="2" max="2" width="54.83203125" style="150" customWidth="1"/>
    <col min="3" max="3" width="15.66015625" style="150" customWidth="1"/>
    <col min="4" max="4" width="14.5" style="150" customWidth="1"/>
    <col min="5" max="5" width="15.5" style="150" customWidth="1"/>
    <col min="6" max="16384" width="9.33203125" style="150" customWidth="1"/>
  </cols>
  <sheetData>
    <row r="1" spans="1:5" ht="18.75" customHeight="1">
      <c r="A1" s="151"/>
      <c r="B1" s="151"/>
      <c r="C1" s="216" t="s">
        <v>322</v>
      </c>
      <c r="D1" s="216"/>
      <c r="E1" s="216"/>
    </row>
    <row r="2" spans="3:5" ht="15.75" customHeight="1">
      <c r="C2" s="216" t="s">
        <v>342</v>
      </c>
      <c r="D2" s="216"/>
      <c r="E2" s="216"/>
    </row>
    <row r="3" spans="3:5" ht="18.75">
      <c r="C3" s="216" t="s">
        <v>129</v>
      </c>
      <c r="D3" s="216"/>
      <c r="E3" s="216"/>
    </row>
    <row r="4" spans="2:5" ht="14.25" customHeight="1">
      <c r="B4" s="588"/>
      <c r="C4" s="588"/>
      <c r="D4" s="588"/>
      <c r="E4" s="588"/>
    </row>
    <row r="5" spans="1:5" ht="23.25" customHeight="1">
      <c r="A5" s="568" t="s">
        <v>446</v>
      </c>
      <c r="B5" s="568"/>
      <c r="C5" s="568"/>
      <c r="D5" s="568"/>
      <c r="E5" s="217"/>
    </row>
    <row r="6" spans="1:5" ht="18.75" customHeight="1">
      <c r="A6" s="156"/>
      <c r="E6" s="157" t="s">
        <v>343</v>
      </c>
    </row>
    <row r="7" spans="1:5" ht="60.75" customHeight="1">
      <c r="A7" s="218" t="s">
        <v>447</v>
      </c>
      <c r="B7" s="218" t="s">
        <v>448</v>
      </c>
      <c r="C7" s="218" t="s">
        <v>68</v>
      </c>
      <c r="D7" s="219" t="s">
        <v>449</v>
      </c>
      <c r="E7" s="219" t="s">
        <v>450</v>
      </c>
    </row>
    <row r="8" spans="1:5" ht="15.75" customHeight="1">
      <c r="A8" s="202">
        <v>1</v>
      </c>
      <c r="B8" s="202">
        <v>2</v>
      </c>
      <c r="C8" s="202">
        <v>3</v>
      </c>
      <c r="D8" s="220">
        <v>4</v>
      </c>
      <c r="E8" s="220">
        <v>5</v>
      </c>
    </row>
    <row r="9" spans="1:5" ht="33.75" customHeight="1" hidden="1">
      <c r="A9" s="576" t="s">
        <v>326</v>
      </c>
      <c r="B9" s="63" t="s">
        <v>451</v>
      </c>
      <c r="C9" s="63">
        <f>D9+E9</f>
        <v>0</v>
      </c>
      <c r="D9" s="63">
        <v>0</v>
      </c>
      <c r="E9" s="63"/>
    </row>
    <row r="10" spans="1:5" ht="30" customHeight="1" hidden="1">
      <c r="A10" s="577"/>
      <c r="B10" s="63" t="s">
        <v>452</v>
      </c>
      <c r="C10" s="63">
        <f>D10+E10</f>
        <v>0</v>
      </c>
      <c r="D10" s="63">
        <v>0</v>
      </c>
      <c r="E10" s="63"/>
    </row>
    <row r="11" spans="1:5" ht="30" customHeight="1" hidden="1">
      <c r="A11" s="577"/>
      <c r="B11" s="221" t="s">
        <v>453</v>
      </c>
      <c r="C11" s="63">
        <f>D11+E11</f>
        <v>0</v>
      </c>
      <c r="D11" s="222"/>
      <c r="E11" s="222">
        <v>0</v>
      </c>
    </row>
    <row r="12" spans="1:5" ht="40.5" customHeight="1" hidden="1">
      <c r="A12" s="577"/>
      <c r="B12" s="221" t="s">
        <v>454</v>
      </c>
      <c r="C12" s="63">
        <f>D12+E12</f>
        <v>0</v>
      </c>
      <c r="D12" s="222"/>
      <c r="E12" s="222">
        <v>0</v>
      </c>
    </row>
    <row r="13" spans="1:5" ht="19.5" customHeight="1" hidden="1">
      <c r="A13" s="577"/>
      <c r="B13" s="223" t="s">
        <v>455</v>
      </c>
      <c r="C13" s="63">
        <f>D13+E13</f>
        <v>0</v>
      </c>
      <c r="D13" s="222"/>
      <c r="E13" s="224">
        <v>0</v>
      </c>
    </row>
    <row r="14" spans="1:5" ht="36.75" customHeight="1" hidden="1">
      <c r="A14" s="577"/>
      <c r="B14" s="223" t="s">
        <v>456</v>
      </c>
      <c r="C14" s="63">
        <v>0</v>
      </c>
      <c r="D14" s="222"/>
      <c r="E14" s="224">
        <v>0</v>
      </c>
    </row>
    <row r="15" spans="1:5" ht="15" customHeight="1" hidden="1">
      <c r="A15" s="580"/>
      <c r="B15" s="225" t="s">
        <v>68</v>
      </c>
      <c r="C15" s="59">
        <f>C9+C10+C11+C12+C13+C14</f>
        <v>0</v>
      </c>
      <c r="D15" s="59">
        <f>D9+D10+D11+D12+D13</f>
        <v>0</v>
      </c>
      <c r="E15" s="226">
        <f>E9+E10+E11+E12+E13+E14</f>
        <v>0</v>
      </c>
    </row>
    <row r="16" spans="1:5" ht="33.75" customHeight="1">
      <c r="A16" s="573" t="s">
        <v>327</v>
      </c>
      <c r="B16" s="63" t="s">
        <v>451</v>
      </c>
      <c r="C16" s="63">
        <f>D16</f>
        <v>57690</v>
      </c>
      <c r="D16" s="63">
        <v>57690</v>
      </c>
      <c r="E16" s="226"/>
    </row>
    <row r="17" spans="1:5" ht="30" customHeight="1">
      <c r="A17" s="589"/>
      <c r="B17" s="63" t="s">
        <v>452</v>
      </c>
      <c r="C17" s="63">
        <f>D17+E17</f>
        <v>151085</v>
      </c>
      <c r="D17" s="63">
        <v>151085</v>
      </c>
      <c r="E17" s="63"/>
    </row>
    <row r="18" spans="1:5" ht="24.75" customHeight="1" hidden="1">
      <c r="A18" s="589"/>
      <c r="B18" s="63"/>
      <c r="C18" s="63"/>
      <c r="D18" s="63"/>
      <c r="E18" s="63"/>
    </row>
    <row r="19" spans="1:5" ht="19.5" customHeight="1">
      <c r="A19" s="590"/>
      <c r="B19" s="225" t="s">
        <v>68</v>
      </c>
      <c r="C19" s="59">
        <f>C17+C16</f>
        <v>208775</v>
      </c>
      <c r="D19" s="59">
        <f>D17+D16</f>
        <v>208775</v>
      </c>
      <c r="E19" s="59">
        <f>E17</f>
        <v>0</v>
      </c>
    </row>
    <row r="20" spans="1:5" ht="28.5" customHeight="1">
      <c r="A20" s="573" t="s">
        <v>328</v>
      </c>
      <c r="B20" s="63" t="s">
        <v>452</v>
      </c>
      <c r="C20" s="63">
        <f>D20+E20</f>
        <v>214830</v>
      </c>
      <c r="D20" s="63">
        <v>214830</v>
      </c>
      <c r="E20" s="63"/>
    </row>
    <row r="21" spans="1:5" ht="24.75" customHeight="1" hidden="1">
      <c r="A21" s="574"/>
      <c r="B21" s="63"/>
      <c r="C21" s="63"/>
      <c r="D21" s="63"/>
      <c r="E21" s="63"/>
    </row>
    <row r="22" spans="1:5" ht="18.75" customHeight="1" hidden="1">
      <c r="A22" s="574"/>
      <c r="B22" s="63" t="s">
        <v>457</v>
      </c>
      <c r="C22" s="63">
        <v>0</v>
      </c>
      <c r="D22" s="63">
        <v>0</v>
      </c>
      <c r="E22" s="63"/>
    </row>
    <row r="23" spans="1:5" ht="27.75" customHeight="1">
      <c r="A23" s="579"/>
      <c r="B23" s="63" t="s">
        <v>245</v>
      </c>
      <c r="C23" s="63">
        <f>E23</f>
        <v>10000</v>
      </c>
      <c r="D23" s="63"/>
      <c r="E23" s="63">
        <v>10000</v>
      </c>
    </row>
    <row r="24" spans="1:5" ht="16.5" customHeight="1">
      <c r="A24" s="575"/>
      <c r="B24" s="225" t="s">
        <v>68</v>
      </c>
      <c r="C24" s="59">
        <f>C20+C22+C23</f>
        <v>224830</v>
      </c>
      <c r="D24" s="59">
        <f>D20+D22</f>
        <v>214830</v>
      </c>
      <c r="E24" s="59">
        <f>E23</f>
        <v>10000</v>
      </c>
    </row>
    <row r="25" spans="1:5" ht="28.5" customHeight="1">
      <c r="A25" s="573" t="s">
        <v>329</v>
      </c>
      <c r="B25" s="63" t="s">
        <v>451</v>
      </c>
      <c r="C25" s="63">
        <f>D25+E25</f>
        <v>351620</v>
      </c>
      <c r="D25" s="63">
        <v>351620</v>
      </c>
      <c r="E25" s="63"/>
    </row>
    <row r="26" spans="1:5" ht="27" customHeight="1">
      <c r="A26" s="574"/>
      <c r="B26" s="63" t="s">
        <v>452</v>
      </c>
      <c r="C26" s="63">
        <f>D26+E26</f>
        <v>343600</v>
      </c>
      <c r="D26" s="63">
        <v>343600</v>
      </c>
      <c r="E26" s="63"/>
    </row>
    <row r="27" spans="1:5" ht="63.75" customHeight="1" hidden="1">
      <c r="A27" s="574"/>
      <c r="B27" s="63" t="s">
        <v>458</v>
      </c>
      <c r="C27" s="63">
        <v>0</v>
      </c>
      <c r="D27" s="63">
        <v>0</v>
      </c>
      <c r="E27" s="63">
        <v>0</v>
      </c>
    </row>
    <row r="28" spans="1:5" ht="15.75" customHeight="1">
      <c r="A28" s="575"/>
      <c r="B28" s="225" t="s">
        <v>68</v>
      </c>
      <c r="C28" s="59">
        <f>C25+C26+C27</f>
        <v>695220</v>
      </c>
      <c r="D28" s="59">
        <f>D25+D26+D27</f>
        <v>695220</v>
      </c>
      <c r="E28" s="59">
        <v>0</v>
      </c>
    </row>
    <row r="29" spans="1:5" ht="30" customHeight="1">
      <c r="A29" s="573" t="s">
        <v>379</v>
      </c>
      <c r="B29" s="63" t="s">
        <v>451</v>
      </c>
      <c r="C29" s="63">
        <f>D29+E29</f>
        <v>35450</v>
      </c>
      <c r="D29" s="63">
        <v>35450</v>
      </c>
      <c r="E29" s="63"/>
    </row>
    <row r="30" spans="1:5" ht="28.5" customHeight="1">
      <c r="A30" s="574"/>
      <c r="B30" s="63" t="s">
        <v>452</v>
      </c>
      <c r="C30" s="63">
        <f>D30+E30</f>
        <v>115930</v>
      </c>
      <c r="D30" s="63">
        <v>115930</v>
      </c>
      <c r="E30" s="63"/>
    </row>
    <row r="31" spans="1:5" ht="14.25" customHeight="1">
      <c r="A31" s="575"/>
      <c r="B31" s="225" t="s">
        <v>68</v>
      </c>
      <c r="C31" s="59">
        <f>C29+C30</f>
        <v>151380</v>
      </c>
      <c r="D31" s="59">
        <f>D29+D30</f>
        <v>151380</v>
      </c>
      <c r="E31" s="59">
        <f>E29</f>
        <v>0</v>
      </c>
    </row>
    <row r="32" spans="1:5" ht="36" customHeight="1">
      <c r="A32" s="573" t="s">
        <v>380</v>
      </c>
      <c r="B32" s="63" t="s">
        <v>451</v>
      </c>
      <c r="C32" s="63">
        <f>D32+E32</f>
        <v>602160</v>
      </c>
      <c r="D32" s="63">
        <v>602160</v>
      </c>
      <c r="E32" s="63"/>
    </row>
    <row r="33" spans="1:5" ht="34.5" customHeight="1">
      <c r="A33" s="574"/>
      <c r="B33" s="63" t="s">
        <v>452</v>
      </c>
      <c r="C33" s="63">
        <f>D33+E33</f>
        <v>164675</v>
      </c>
      <c r="D33" s="63">
        <v>164675</v>
      </c>
      <c r="E33" s="63"/>
    </row>
    <row r="34" spans="1:5" ht="15" customHeight="1" hidden="1">
      <c r="A34" s="574"/>
      <c r="B34" s="99" t="s">
        <v>459</v>
      </c>
      <c r="C34" s="63">
        <v>0</v>
      </c>
      <c r="D34" s="63"/>
      <c r="E34" s="63">
        <v>0</v>
      </c>
    </row>
    <row r="35" spans="1:5" ht="15" customHeight="1" hidden="1">
      <c r="A35" s="574"/>
      <c r="B35" s="99" t="s">
        <v>460</v>
      </c>
      <c r="C35" s="63">
        <v>0</v>
      </c>
      <c r="D35" s="63">
        <v>0</v>
      </c>
      <c r="E35" s="63"/>
    </row>
    <row r="36" spans="1:5" s="208" customFormat="1" ht="15.75" customHeight="1">
      <c r="A36" s="575"/>
      <c r="B36" s="225" t="s">
        <v>68</v>
      </c>
      <c r="C36" s="59">
        <f>C32+C33+C34+C35</f>
        <v>766835</v>
      </c>
      <c r="D36" s="59">
        <f>D32+D33+D35</f>
        <v>766835</v>
      </c>
      <c r="E36" s="59">
        <f>E32+E33+E34</f>
        <v>0</v>
      </c>
    </row>
    <row r="37" spans="1:5" s="208" customFormat="1" ht="33.75" customHeight="1">
      <c r="A37" s="584" t="s">
        <v>381</v>
      </c>
      <c r="B37" s="63" t="s">
        <v>451</v>
      </c>
      <c r="C37" s="63">
        <f>D37+E37</f>
        <v>63460</v>
      </c>
      <c r="D37" s="63">
        <v>63460</v>
      </c>
      <c r="E37" s="63"/>
    </row>
    <row r="38" spans="1:5" s="208" customFormat="1" ht="44.25" customHeight="1" hidden="1">
      <c r="A38" s="585"/>
      <c r="B38" s="63" t="s">
        <v>462</v>
      </c>
      <c r="C38" s="63">
        <v>0</v>
      </c>
      <c r="D38" s="63">
        <v>0</v>
      </c>
      <c r="E38" s="63"/>
    </row>
    <row r="39" spans="1:5" s="208" customFormat="1" ht="30.75" customHeight="1" hidden="1">
      <c r="A39" s="585"/>
      <c r="B39" s="99" t="s">
        <v>463</v>
      </c>
      <c r="C39" s="63">
        <v>0</v>
      </c>
      <c r="D39" s="63"/>
      <c r="E39" s="63">
        <v>0</v>
      </c>
    </row>
    <row r="40" spans="1:5" s="208" customFormat="1" ht="31.5" customHeight="1">
      <c r="A40" s="585"/>
      <c r="B40" s="63" t="s">
        <v>452</v>
      </c>
      <c r="C40" s="63">
        <f>D40+E40</f>
        <v>139530</v>
      </c>
      <c r="D40" s="63">
        <v>139530</v>
      </c>
      <c r="E40" s="63">
        <v>0</v>
      </c>
    </row>
    <row r="41" spans="1:5" s="208" customFormat="1" ht="41.25" customHeight="1">
      <c r="A41" s="585"/>
      <c r="B41" s="63" t="s">
        <v>442</v>
      </c>
      <c r="C41" s="63">
        <f>E41</f>
        <v>17962.2</v>
      </c>
      <c r="D41" s="63"/>
      <c r="E41" s="63">
        <v>17962.2</v>
      </c>
    </row>
    <row r="42" spans="1:5" s="208" customFormat="1" ht="41.25" customHeight="1">
      <c r="A42" s="586"/>
      <c r="B42" s="63" t="s">
        <v>140</v>
      </c>
      <c r="C42" s="63">
        <f>D42</f>
        <v>50000</v>
      </c>
      <c r="D42" s="63">
        <v>50000</v>
      </c>
      <c r="E42" s="63"/>
    </row>
    <row r="43" spans="1:5" ht="16.5" customHeight="1">
      <c r="A43" s="587"/>
      <c r="B43" s="225" t="s">
        <v>68</v>
      </c>
      <c r="C43" s="59">
        <f>C37+C40+C38+C39+C41+C42</f>
        <v>270952.2</v>
      </c>
      <c r="D43" s="59">
        <f>D37+D40+D38+D42</f>
        <v>252990</v>
      </c>
      <c r="E43" s="59">
        <f>E41</f>
        <v>17962.2</v>
      </c>
    </row>
    <row r="44" spans="1:5" ht="35.25" customHeight="1">
      <c r="A44" s="573" t="s">
        <v>382</v>
      </c>
      <c r="B44" s="63" t="s">
        <v>451</v>
      </c>
      <c r="C44" s="63">
        <f>D44+E44</f>
        <v>612760</v>
      </c>
      <c r="D44" s="63">
        <v>612760</v>
      </c>
      <c r="E44" s="63"/>
    </row>
    <row r="45" spans="1:5" ht="18" customHeight="1" hidden="1">
      <c r="A45" s="574"/>
      <c r="B45" s="63" t="s">
        <v>464</v>
      </c>
      <c r="C45" s="63">
        <v>0</v>
      </c>
      <c r="D45" s="63"/>
      <c r="E45" s="63">
        <v>0</v>
      </c>
    </row>
    <row r="46" spans="1:5" ht="30.75" customHeight="1">
      <c r="A46" s="574"/>
      <c r="B46" s="63" t="s">
        <v>452</v>
      </c>
      <c r="C46" s="63">
        <f>D46+E46</f>
        <v>205710</v>
      </c>
      <c r="D46" s="63">
        <v>205710</v>
      </c>
      <c r="E46" s="63"/>
    </row>
    <row r="47" spans="1:5" ht="17.25" customHeight="1">
      <c r="A47" s="575"/>
      <c r="B47" s="225" t="s">
        <v>68</v>
      </c>
      <c r="C47" s="59">
        <f>C44+C46+C45</f>
        <v>818470</v>
      </c>
      <c r="D47" s="59">
        <f>D44+D46</f>
        <v>818470</v>
      </c>
      <c r="E47" s="59">
        <v>0</v>
      </c>
    </row>
    <row r="48" spans="1:5" ht="35.25" customHeight="1">
      <c r="A48" s="573" t="s">
        <v>385</v>
      </c>
      <c r="B48" s="63" t="s">
        <v>451</v>
      </c>
      <c r="C48" s="63">
        <f>D48+E48</f>
        <v>93780</v>
      </c>
      <c r="D48" s="63">
        <v>93780</v>
      </c>
      <c r="E48" s="63"/>
    </row>
    <row r="49" spans="1:5" ht="34.5" customHeight="1">
      <c r="A49" s="574"/>
      <c r="B49" s="63" t="s">
        <v>452</v>
      </c>
      <c r="C49" s="63">
        <f>D49+E49</f>
        <v>99540</v>
      </c>
      <c r="D49" s="63">
        <v>99540</v>
      </c>
      <c r="E49" s="63"/>
    </row>
    <row r="50" spans="1:5" ht="27.75" customHeight="1" hidden="1">
      <c r="A50" s="574"/>
      <c r="B50" s="99" t="s">
        <v>465</v>
      </c>
      <c r="C50" s="63">
        <v>0</v>
      </c>
      <c r="D50" s="63"/>
      <c r="E50" s="63">
        <v>0</v>
      </c>
    </row>
    <row r="51" spans="1:5" ht="27.75" customHeight="1" hidden="1">
      <c r="A51" s="574"/>
      <c r="B51" s="99" t="s">
        <v>466</v>
      </c>
      <c r="C51" s="63">
        <v>0</v>
      </c>
      <c r="D51" s="63">
        <v>0</v>
      </c>
      <c r="E51" s="63"/>
    </row>
    <row r="52" spans="1:5" ht="27.75" customHeight="1">
      <c r="A52" s="574"/>
      <c r="B52" s="99" t="s">
        <v>405</v>
      </c>
      <c r="C52" s="63">
        <f>E52</f>
        <v>75000</v>
      </c>
      <c r="D52" s="63"/>
      <c r="E52" s="63">
        <v>75000</v>
      </c>
    </row>
    <row r="53" spans="1:5" ht="13.5" customHeight="1">
      <c r="A53" s="575"/>
      <c r="B53" s="225" t="s">
        <v>68</v>
      </c>
      <c r="C53" s="59">
        <f>C48+C49+C50+C51+C52</f>
        <v>268320</v>
      </c>
      <c r="D53" s="59">
        <f>D48+D49+D51</f>
        <v>193320</v>
      </c>
      <c r="E53" s="59">
        <f>E52</f>
        <v>75000</v>
      </c>
    </row>
    <row r="54" spans="1:5" ht="36" customHeight="1">
      <c r="A54" s="573" t="s">
        <v>386</v>
      </c>
      <c r="B54" s="63" t="s">
        <v>452</v>
      </c>
      <c r="C54" s="63">
        <f>D54+E54</f>
        <v>99155</v>
      </c>
      <c r="D54" s="63">
        <v>99155</v>
      </c>
      <c r="E54" s="63"/>
    </row>
    <row r="55" spans="1:5" ht="24.75" customHeight="1" hidden="1">
      <c r="A55" s="574"/>
      <c r="B55" s="63"/>
      <c r="C55" s="63"/>
      <c r="D55" s="63"/>
      <c r="E55" s="63"/>
    </row>
    <row r="56" spans="1:5" ht="15.75" customHeight="1">
      <c r="A56" s="575"/>
      <c r="B56" s="225" t="s">
        <v>68</v>
      </c>
      <c r="C56" s="59">
        <f>C54</f>
        <v>99155</v>
      </c>
      <c r="D56" s="59">
        <f>D54</f>
        <v>99155</v>
      </c>
      <c r="E56" s="59">
        <f>E54</f>
        <v>0</v>
      </c>
    </row>
    <row r="57" spans="1:5" ht="36" customHeight="1">
      <c r="A57" s="573" t="s">
        <v>387</v>
      </c>
      <c r="B57" s="63" t="s">
        <v>451</v>
      </c>
      <c r="C57" s="63">
        <f>D57+E57</f>
        <v>766650</v>
      </c>
      <c r="D57" s="63">
        <v>766650</v>
      </c>
      <c r="E57" s="63"/>
    </row>
    <row r="58" spans="1:5" ht="32.25" customHeight="1">
      <c r="A58" s="574"/>
      <c r="B58" s="63" t="s">
        <v>452</v>
      </c>
      <c r="C58" s="63">
        <f>D58+E58</f>
        <v>215220</v>
      </c>
      <c r="D58" s="63">
        <v>215220</v>
      </c>
      <c r="E58" s="63"/>
    </row>
    <row r="59" spans="1:5" ht="19.5" customHeight="1" hidden="1">
      <c r="A59" s="574"/>
      <c r="B59" s="221" t="s">
        <v>467</v>
      </c>
      <c r="C59" s="63">
        <f>D59+E59</f>
        <v>0</v>
      </c>
      <c r="D59" s="63">
        <v>0</v>
      </c>
      <c r="E59" s="63"/>
    </row>
    <row r="60" spans="1:5" ht="39.75" customHeight="1" hidden="1">
      <c r="A60" s="574"/>
      <c r="B60" s="227" t="s">
        <v>468</v>
      </c>
      <c r="C60" s="63">
        <v>0</v>
      </c>
      <c r="D60" s="63"/>
      <c r="E60" s="63">
        <v>0</v>
      </c>
    </row>
    <row r="61" spans="1:5" ht="21.75" customHeight="1" hidden="1">
      <c r="A61" s="574"/>
      <c r="B61" s="227" t="s">
        <v>469</v>
      </c>
      <c r="C61" s="63">
        <v>0</v>
      </c>
      <c r="D61" s="63"/>
      <c r="E61" s="63">
        <v>0</v>
      </c>
    </row>
    <row r="62" spans="1:5" ht="15.75" customHeight="1">
      <c r="A62" s="575"/>
      <c r="B62" s="225" t="s">
        <v>68</v>
      </c>
      <c r="C62" s="59">
        <f>C57+C58+C59+C60+C61</f>
        <v>981870</v>
      </c>
      <c r="D62" s="59">
        <f>D57+D58+D59</f>
        <v>981870</v>
      </c>
      <c r="E62" s="59">
        <f>E57+E58+E59+E60+E61</f>
        <v>0</v>
      </c>
    </row>
    <row r="63" spans="1:5" ht="31.5" customHeight="1">
      <c r="A63" s="573" t="s">
        <v>388</v>
      </c>
      <c r="B63" s="63" t="s">
        <v>451</v>
      </c>
      <c r="C63" s="63">
        <f>D63+E63</f>
        <v>405205</v>
      </c>
      <c r="D63" s="63">
        <v>405205</v>
      </c>
      <c r="E63" s="63"/>
    </row>
    <row r="64" spans="1:5" ht="32.25" customHeight="1">
      <c r="A64" s="574"/>
      <c r="B64" s="63" t="s">
        <v>452</v>
      </c>
      <c r="C64" s="63">
        <f>D64+E64</f>
        <v>78440</v>
      </c>
      <c r="D64" s="63">
        <v>78440</v>
      </c>
      <c r="E64" s="63"/>
    </row>
    <row r="65" spans="1:5" ht="15.75" customHeight="1">
      <c r="A65" s="575"/>
      <c r="B65" s="225" t="s">
        <v>68</v>
      </c>
      <c r="C65" s="59">
        <f>C63+C64</f>
        <v>483645</v>
      </c>
      <c r="D65" s="59">
        <f>D63+D64</f>
        <v>483645</v>
      </c>
      <c r="E65" s="59">
        <f>E63</f>
        <v>0</v>
      </c>
    </row>
    <row r="66" spans="1:5" ht="30.75" customHeight="1" hidden="1">
      <c r="A66" s="573" t="s">
        <v>389</v>
      </c>
      <c r="B66" s="63" t="s">
        <v>451</v>
      </c>
      <c r="C66" s="63">
        <v>0</v>
      </c>
      <c r="D66" s="63">
        <v>0</v>
      </c>
      <c r="E66" s="63"/>
    </row>
    <row r="67" spans="1:5" ht="30" customHeight="1" hidden="1">
      <c r="A67" s="574"/>
      <c r="B67" s="63" t="s">
        <v>452</v>
      </c>
      <c r="C67" s="63">
        <v>0</v>
      </c>
      <c r="D67" s="63">
        <v>0</v>
      </c>
      <c r="E67" s="63"/>
    </row>
    <row r="68" spans="1:5" ht="15" customHeight="1" hidden="1">
      <c r="A68" s="575"/>
      <c r="B68" s="225" t="s">
        <v>68</v>
      </c>
      <c r="C68" s="59">
        <f>C66+C67</f>
        <v>0</v>
      </c>
      <c r="D68" s="59">
        <f>D66+D67</f>
        <v>0</v>
      </c>
      <c r="E68" s="59">
        <f>E66</f>
        <v>0</v>
      </c>
    </row>
    <row r="69" spans="1:5" ht="37.5" customHeight="1">
      <c r="A69" s="573" t="s">
        <v>390</v>
      </c>
      <c r="B69" s="63" t="s">
        <v>451</v>
      </c>
      <c r="C69" s="63">
        <f>D69+E69</f>
        <v>538955</v>
      </c>
      <c r="D69" s="63">
        <v>538955</v>
      </c>
      <c r="E69" s="63"/>
    </row>
    <row r="70" spans="1:5" ht="30" customHeight="1">
      <c r="A70" s="574"/>
      <c r="B70" s="63" t="s">
        <v>452</v>
      </c>
      <c r="C70" s="63">
        <f>D70+E70</f>
        <v>143420</v>
      </c>
      <c r="D70" s="63">
        <v>143420</v>
      </c>
      <c r="E70" s="63"/>
    </row>
    <row r="71" spans="1:5" ht="15" customHeight="1">
      <c r="A71" s="575"/>
      <c r="B71" s="225" t="s">
        <v>68</v>
      </c>
      <c r="C71" s="59">
        <f>C69+C70</f>
        <v>682375</v>
      </c>
      <c r="D71" s="59">
        <f>D69+D70</f>
        <v>682375</v>
      </c>
      <c r="E71" s="59">
        <f>E69</f>
        <v>0</v>
      </c>
    </row>
    <row r="72" spans="1:5" ht="37.5" customHeight="1">
      <c r="A72" s="573" t="s">
        <v>353</v>
      </c>
      <c r="B72" s="63" t="s">
        <v>451</v>
      </c>
      <c r="C72" s="63">
        <f>D72+E72</f>
        <v>37190</v>
      </c>
      <c r="D72" s="63">
        <v>37190</v>
      </c>
      <c r="E72" s="63"/>
    </row>
    <row r="73" spans="1:5" ht="30.75" customHeight="1">
      <c r="A73" s="574"/>
      <c r="B73" s="63" t="s">
        <v>452</v>
      </c>
      <c r="C73" s="63">
        <f>D73+E73</f>
        <v>66570</v>
      </c>
      <c r="D73" s="63">
        <v>66570</v>
      </c>
      <c r="E73" s="63"/>
    </row>
    <row r="74" spans="1:5" ht="18" customHeight="1" hidden="1">
      <c r="A74" s="574"/>
      <c r="B74" s="63" t="s">
        <v>466</v>
      </c>
      <c r="C74" s="63">
        <v>0</v>
      </c>
      <c r="D74" s="63">
        <v>0</v>
      </c>
      <c r="E74" s="63"/>
    </row>
    <row r="75" spans="1:5" ht="15" customHeight="1">
      <c r="A75" s="575"/>
      <c r="B75" s="225" t="s">
        <v>68</v>
      </c>
      <c r="C75" s="59">
        <f>C72+C73+C74</f>
        <v>103760</v>
      </c>
      <c r="D75" s="59">
        <f>D72+D73+D74</f>
        <v>103760</v>
      </c>
      <c r="E75" s="59">
        <f>E72</f>
        <v>0</v>
      </c>
    </row>
    <row r="76" spans="1:5" ht="32.25" customHeight="1" hidden="1">
      <c r="A76" s="573" t="s">
        <v>470</v>
      </c>
      <c r="B76" s="63" t="s">
        <v>451</v>
      </c>
      <c r="C76" s="63">
        <f>D76+E76</f>
        <v>0</v>
      </c>
      <c r="D76" s="63">
        <v>0</v>
      </c>
      <c r="E76" s="63"/>
    </row>
    <row r="77" spans="1:5" ht="35.25" customHeight="1" hidden="1">
      <c r="A77" s="574"/>
      <c r="B77" s="63" t="s">
        <v>452</v>
      </c>
      <c r="C77" s="63">
        <f>D77+E77</f>
        <v>0</v>
      </c>
      <c r="D77" s="63">
        <v>0</v>
      </c>
      <c r="E77" s="63"/>
    </row>
    <row r="78" spans="1:5" ht="18" customHeight="1" hidden="1">
      <c r="A78" s="574"/>
      <c r="B78" s="63" t="s">
        <v>466</v>
      </c>
      <c r="C78" s="63">
        <v>0</v>
      </c>
      <c r="D78" s="63">
        <v>0</v>
      </c>
      <c r="E78" s="63"/>
    </row>
    <row r="79" spans="1:5" ht="27" customHeight="1" hidden="1">
      <c r="A79" s="574"/>
      <c r="B79" s="63" t="s">
        <v>471</v>
      </c>
      <c r="C79" s="63">
        <v>0</v>
      </c>
      <c r="D79" s="63">
        <v>0</v>
      </c>
      <c r="E79" s="63"/>
    </row>
    <row r="80" spans="1:5" ht="15" customHeight="1" hidden="1">
      <c r="A80" s="575"/>
      <c r="B80" s="225" t="s">
        <v>68</v>
      </c>
      <c r="C80" s="59">
        <f>C76+C77+C78+C79</f>
        <v>0</v>
      </c>
      <c r="D80" s="59">
        <f>D76+D77+D78+D79</f>
        <v>0</v>
      </c>
      <c r="E80" s="59">
        <f>E76</f>
        <v>0</v>
      </c>
    </row>
    <row r="81" spans="1:5" ht="30" customHeight="1" hidden="1">
      <c r="A81" s="573" t="s">
        <v>393</v>
      </c>
      <c r="B81" s="63" t="s">
        <v>451</v>
      </c>
      <c r="C81" s="63">
        <f>D81+E81</f>
        <v>0</v>
      </c>
      <c r="D81" s="63">
        <v>0</v>
      </c>
      <c r="E81" s="63"/>
    </row>
    <row r="82" spans="1:5" ht="31.5" customHeight="1" hidden="1">
      <c r="A82" s="574"/>
      <c r="B82" s="63" t="s">
        <v>452</v>
      </c>
      <c r="C82" s="63">
        <f>D82+E82</f>
        <v>0</v>
      </c>
      <c r="D82" s="63">
        <v>0</v>
      </c>
      <c r="E82" s="63"/>
    </row>
    <row r="83" spans="1:5" ht="24.75" customHeight="1" hidden="1">
      <c r="A83" s="574"/>
      <c r="B83" s="63" t="s">
        <v>472</v>
      </c>
      <c r="C83" s="63">
        <v>0</v>
      </c>
      <c r="D83" s="63">
        <v>0</v>
      </c>
      <c r="E83" s="63"/>
    </row>
    <row r="84" spans="1:5" ht="14.25" customHeight="1" hidden="1">
      <c r="A84" s="575"/>
      <c r="B84" s="225" t="s">
        <v>68</v>
      </c>
      <c r="C84" s="59">
        <f>C81+C82+C83</f>
        <v>0</v>
      </c>
      <c r="D84" s="59">
        <f>D81+D82+D83</f>
        <v>0</v>
      </c>
      <c r="E84" s="59">
        <f>E81</f>
        <v>0</v>
      </c>
    </row>
    <row r="85" spans="1:5" ht="34.5" customHeight="1">
      <c r="A85" s="573" t="s">
        <v>394</v>
      </c>
      <c r="B85" s="63" t="s">
        <v>451</v>
      </c>
      <c r="C85" s="63">
        <f>D85+E85</f>
        <v>489490</v>
      </c>
      <c r="D85" s="63">
        <v>489490</v>
      </c>
      <c r="E85" s="63"/>
    </row>
    <row r="86" spans="1:5" ht="28.5" customHeight="1">
      <c r="A86" s="574"/>
      <c r="B86" s="63" t="s">
        <v>452</v>
      </c>
      <c r="C86" s="63">
        <f>D86+E86</f>
        <v>108100</v>
      </c>
      <c r="D86" s="63">
        <v>108100</v>
      </c>
      <c r="E86" s="63"/>
    </row>
    <row r="87" spans="1:5" ht="20.25" customHeight="1" hidden="1">
      <c r="A87" s="574"/>
      <c r="B87" s="63" t="s">
        <v>466</v>
      </c>
      <c r="C87" s="63">
        <v>0</v>
      </c>
      <c r="D87" s="63">
        <v>0</v>
      </c>
      <c r="E87" s="63"/>
    </row>
    <row r="88" spans="1:5" ht="20.25" customHeight="1">
      <c r="A88" s="579"/>
      <c r="B88" s="63" t="s">
        <v>240</v>
      </c>
      <c r="C88" s="63">
        <f>E88</f>
        <v>20000</v>
      </c>
      <c r="D88" s="63"/>
      <c r="E88" s="63">
        <v>20000</v>
      </c>
    </row>
    <row r="89" spans="1:5" ht="18.75" customHeight="1">
      <c r="A89" s="575"/>
      <c r="B89" s="225" t="s">
        <v>68</v>
      </c>
      <c r="C89" s="59">
        <f>C85+C86+C87+C88</f>
        <v>617590</v>
      </c>
      <c r="D89" s="59">
        <f>D85+D86+D87</f>
        <v>597590</v>
      </c>
      <c r="E89" s="59">
        <f>E88</f>
        <v>20000</v>
      </c>
    </row>
    <row r="90" spans="1:5" ht="33" customHeight="1" hidden="1">
      <c r="A90" s="573" t="s">
        <v>395</v>
      </c>
      <c r="B90" s="63" t="s">
        <v>452</v>
      </c>
      <c r="C90" s="63">
        <f>D90+E90</f>
        <v>0</v>
      </c>
      <c r="D90" s="63">
        <v>0</v>
      </c>
      <c r="E90" s="63"/>
    </row>
    <row r="91" spans="1:5" ht="15.75" customHeight="1" hidden="1">
      <c r="A91" s="574"/>
      <c r="B91" s="63" t="s">
        <v>473</v>
      </c>
      <c r="C91" s="63">
        <f>D91+E91</f>
        <v>0</v>
      </c>
      <c r="D91" s="63">
        <v>0</v>
      </c>
      <c r="E91" s="63"/>
    </row>
    <row r="92" spans="1:5" ht="20.25" customHeight="1" hidden="1">
      <c r="A92" s="574"/>
      <c r="B92" s="221" t="s">
        <v>474</v>
      </c>
      <c r="C92" s="63">
        <f>D92+E92</f>
        <v>0</v>
      </c>
      <c r="D92" s="63"/>
      <c r="E92" s="63">
        <v>0</v>
      </c>
    </row>
    <row r="93" spans="1:5" ht="16.5" customHeight="1" hidden="1">
      <c r="A93" s="575"/>
      <c r="B93" s="225" t="s">
        <v>68</v>
      </c>
      <c r="C93" s="59">
        <f>C90+C91+C92</f>
        <v>0</v>
      </c>
      <c r="D93" s="59">
        <f>D90+D91+D92</f>
        <v>0</v>
      </c>
      <c r="E93" s="59">
        <f>E90+E91+E92</f>
        <v>0</v>
      </c>
    </row>
    <row r="94" spans="1:5" ht="33" customHeight="1">
      <c r="A94" s="573" t="s">
        <v>396</v>
      </c>
      <c r="B94" s="63" t="s">
        <v>452</v>
      </c>
      <c r="C94" s="63">
        <f>D94+E94</f>
        <v>152360</v>
      </c>
      <c r="D94" s="63">
        <v>152360</v>
      </c>
      <c r="E94" s="63"/>
    </row>
    <row r="95" spans="1:5" ht="24.75" customHeight="1" hidden="1">
      <c r="A95" s="574"/>
      <c r="B95" s="63"/>
      <c r="C95" s="63"/>
      <c r="D95" s="63"/>
      <c r="E95" s="63"/>
    </row>
    <row r="96" spans="1:5" ht="28.5" customHeight="1" hidden="1">
      <c r="A96" s="574"/>
      <c r="B96" s="63" t="s">
        <v>475</v>
      </c>
      <c r="C96" s="63">
        <f>D96+E96</f>
        <v>0</v>
      </c>
      <c r="D96" s="63">
        <v>0</v>
      </c>
      <c r="E96" s="63">
        <v>0</v>
      </c>
    </row>
    <row r="97" spans="1:5" ht="15.75" customHeight="1">
      <c r="A97" s="575"/>
      <c r="B97" s="225" t="s">
        <v>68</v>
      </c>
      <c r="C97" s="59">
        <f>C94+C96</f>
        <v>152360</v>
      </c>
      <c r="D97" s="59">
        <f>D94+D96</f>
        <v>152360</v>
      </c>
      <c r="E97" s="59">
        <f>E96</f>
        <v>0</v>
      </c>
    </row>
    <row r="98" spans="1:5" ht="27.75" customHeight="1" hidden="1">
      <c r="A98" s="573" t="s">
        <v>397</v>
      </c>
      <c r="B98" s="63" t="s">
        <v>452</v>
      </c>
      <c r="C98" s="63">
        <f>D98+E98</f>
        <v>0</v>
      </c>
      <c r="D98" s="63">
        <v>0</v>
      </c>
      <c r="E98" s="63"/>
    </row>
    <row r="99" spans="1:5" ht="24.75" customHeight="1" hidden="1">
      <c r="A99" s="574"/>
      <c r="B99" s="63"/>
      <c r="C99" s="63"/>
      <c r="D99" s="63"/>
      <c r="E99" s="63"/>
    </row>
    <row r="100" spans="1:5" ht="16.5" customHeight="1" hidden="1">
      <c r="A100" s="575"/>
      <c r="B100" s="225" t="s">
        <v>68</v>
      </c>
      <c r="C100" s="59">
        <f>C98</f>
        <v>0</v>
      </c>
      <c r="D100" s="59">
        <f>D98</f>
        <v>0</v>
      </c>
      <c r="E100" s="59">
        <f>E98</f>
        <v>0</v>
      </c>
    </row>
    <row r="101" spans="1:5" ht="33" customHeight="1">
      <c r="A101" s="573" t="s">
        <v>398</v>
      </c>
      <c r="B101" s="63" t="s">
        <v>451</v>
      </c>
      <c r="C101" s="63">
        <f>D101+E101</f>
        <v>685140</v>
      </c>
      <c r="D101" s="63">
        <v>685140</v>
      </c>
      <c r="E101" s="63"/>
    </row>
    <row r="102" spans="1:5" ht="33" customHeight="1">
      <c r="A102" s="574"/>
      <c r="B102" s="63" t="s">
        <v>452</v>
      </c>
      <c r="C102" s="63">
        <f>D102+E102</f>
        <v>140560</v>
      </c>
      <c r="D102" s="63">
        <v>140560</v>
      </c>
      <c r="E102" s="63"/>
    </row>
    <row r="103" spans="1:5" ht="14.25" customHeight="1">
      <c r="A103" s="575"/>
      <c r="B103" s="225" t="s">
        <v>68</v>
      </c>
      <c r="C103" s="59">
        <f>C101+C102</f>
        <v>825700</v>
      </c>
      <c r="D103" s="59">
        <f>D101+D102</f>
        <v>825700</v>
      </c>
      <c r="E103" s="59">
        <f>E101</f>
        <v>0</v>
      </c>
    </row>
    <row r="104" spans="1:5" ht="34.5" customHeight="1">
      <c r="A104" s="573" t="s">
        <v>399</v>
      </c>
      <c r="B104" s="63" t="s">
        <v>451</v>
      </c>
      <c r="C104" s="63">
        <f>D104+E104</f>
        <v>426660</v>
      </c>
      <c r="D104" s="63">
        <v>426660</v>
      </c>
      <c r="E104" s="63"/>
    </row>
    <row r="105" spans="1:5" ht="36" customHeight="1">
      <c r="A105" s="574"/>
      <c r="B105" s="63" t="s">
        <v>452</v>
      </c>
      <c r="C105" s="63">
        <f>D105+E105</f>
        <v>122060</v>
      </c>
      <c r="D105" s="63">
        <v>122060</v>
      </c>
      <c r="E105" s="63"/>
    </row>
    <row r="106" spans="1:5" ht="36" customHeight="1" hidden="1">
      <c r="A106" s="574"/>
      <c r="B106" s="221" t="s">
        <v>476</v>
      </c>
      <c r="C106" s="63">
        <f>D106+E106</f>
        <v>0</v>
      </c>
      <c r="D106" s="63">
        <v>0</v>
      </c>
      <c r="E106" s="63"/>
    </row>
    <row r="107" spans="1:5" ht="25.5" customHeight="1" hidden="1">
      <c r="A107" s="574"/>
      <c r="B107" s="221" t="s">
        <v>477</v>
      </c>
      <c r="C107" s="63">
        <f>D107+E107</f>
        <v>0</v>
      </c>
      <c r="D107" s="63">
        <v>0</v>
      </c>
      <c r="E107" s="63"/>
    </row>
    <row r="108" spans="1:5" ht="17.25" customHeight="1" hidden="1">
      <c r="A108" s="574"/>
      <c r="B108" s="221" t="s">
        <v>478</v>
      </c>
      <c r="C108" s="63">
        <v>0</v>
      </c>
      <c r="D108" s="63">
        <v>0</v>
      </c>
      <c r="E108" s="63"/>
    </row>
    <row r="109" spans="1:5" ht="24" customHeight="1" hidden="1">
      <c r="A109" s="574"/>
      <c r="B109" s="221" t="s">
        <v>480</v>
      </c>
      <c r="C109" s="63">
        <v>0</v>
      </c>
      <c r="D109" s="63"/>
      <c r="E109" s="63">
        <v>0</v>
      </c>
    </row>
    <row r="110" spans="1:5" ht="17.25" customHeight="1" hidden="1">
      <c r="A110" s="574"/>
      <c r="B110" s="221" t="s">
        <v>466</v>
      </c>
      <c r="C110" s="63">
        <v>0</v>
      </c>
      <c r="D110" s="63">
        <v>0</v>
      </c>
      <c r="E110" s="63"/>
    </row>
    <row r="111" spans="1:5" ht="34.5" customHeight="1">
      <c r="A111" s="579"/>
      <c r="B111" s="221" t="s">
        <v>142</v>
      </c>
      <c r="C111" s="63">
        <f>D111</f>
        <v>20000</v>
      </c>
      <c r="D111" s="63">
        <v>20000</v>
      </c>
      <c r="E111" s="63"/>
    </row>
    <row r="112" spans="1:5" ht="18" customHeight="1">
      <c r="A112" s="575"/>
      <c r="B112" s="225" t="s">
        <v>68</v>
      </c>
      <c r="C112" s="59">
        <f>C104+C105+C106+C107+C108+C109+C111</f>
        <v>568720</v>
      </c>
      <c r="D112" s="59">
        <f>D104+D105+D110+D106+D107+D108+D109+D111</f>
        <v>568720</v>
      </c>
      <c r="E112" s="59">
        <f>E109</f>
        <v>0</v>
      </c>
    </row>
    <row r="113" spans="1:5" ht="33.75" customHeight="1">
      <c r="A113" s="573" t="s">
        <v>400</v>
      </c>
      <c r="B113" s="63" t="s">
        <v>451</v>
      </c>
      <c r="C113" s="63">
        <f>D113+E113</f>
        <v>1045110</v>
      </c>
      <c r="D113" s="63">
        <v>1045110</v>
      </c>
      <c r="E113" s="63"/>
    </row>
    <row r="114" spans="1:5" ht="24" customHeight="1" hidden="1">
      <c r="A114" s="574"/>
      <c r="B114" s="228" t="s">
        <v>481</v>
      </c>
      <c r="C114" s="63">
        <f>D114+E114</f>
        <v>0</v>
      </c>
      <c r="D114" s="63"/>
      <c r="E114" s="63">
        <v>0</v>
      </c>
    </row>
    <row r="115" spans="1:5" ht="33" customHeight="1">
      <c r="A115" s="574"/>
      <c r="B115" s="63" t="s">
        <v>452</v>
      </c>
      <c r="C115" s="63">
        <f>D115+E115</f>
        <v>115420</v>
      </c>
      <c r="D115" s="63">
        <v>115420</v>
      </c>
      <c r="E115" s="63"/>
    </row>
    <row r="116" spans="1:5" ht="24" customHeight="1" hidden="1">
      <c r="A116" s="574"/>
      <c r="B116" s="63" t="s">
        <v>469</v>
      </c>
      <c r="C116" s="63">
        <v>0</v>
      </c>
      <c r="D116" s="63"/>
      <c r="E116" s="63">
        <v>0</v>
      </c>
    </row>
    <row r="117" spans="1:5" ht="17.25" customHeight="1">
      <c r="A117" s="575"/>
      <c r="B117" s="225" t="s">
        <v>68</v>
      </c>
      <c r="C117" s="59">
        <f>C113+C115+C114+C116</f>
        <v>1160530</v>
      </c>
      <c r="D117" s="59">
        <f>D113+D115+D114</f>
        <v>1160530</v>
      </c>
      <c r="E117" s="59">
        <f>E113+E115+E114+E116</f>
        <v>0</v>
      </c>
    </row>
    <row r="118" spans="1:5" ht="33.75" customHeight="1">
      <c r="A118" s="573" t="s">
        <v>401</v>
      </c>
      <c r="B118" s="63" t="s">
        <v>451</v>
      </c>
      <c r="C118" s="63">
        <f>D118+E118</f>
        <v>745345</v>
      </c>
      <c r="D118" s="63">
        <v>745345</v>
      </c>
      <c r="E118" s="63"/>
    </row>
    <row r="119" spans="1:5" ht="16.5" customHeight="1" hidden="1">
      <c r="A119" s="574"/>
      <c r="B119" s="63" t="s">
        <v>482</v>
      </c>
      <c r="C119" s="63">
        <v>0</v>
      </c>
      <c r="D119" s="63"/>
      <c r="E119" s="63">
        <v>0</v>
      </c>
    </row>
    <row r="120" spans="1:5" ht="33" customHeight="1">
      <c r="A120" s="574"/>
      <c r="B120" s="63" t="s">
        <v>452</v>
      </c>
      <c r="C120" s="63">
        <f>D120+E120</f>
        <v>190080</v>
      </c>
      <c r="D120" s="63">
        <v>190080</v>
      </c>
      <c r="E120" s="63"/>
    </row>
    <row r="121" spans="1:5" ht="20.25" customHeight="1">
      <c r="A121" s="575"/>
      <c r="B121" s="225" t="s">
        <v>68</v>
      </c>
      <c r="C121" s="59">
        <f>C118+C120+C119</f>
        <v>935425</v>
      </c>
      <c r="D121" s="59">
        <f>D118+D120</f>
        <v>935425</v>
      </c>
      <c r="E121" s="59">
        <v>0</v>
      </c>
    </row>
    <row r="122" spans="1:5" ht="11.25" customHeight="1" hidden="1">
      <c r="A122" s="573" t="s">
        <v>402</v>
      </c>
      <c r="B122" s="63" t="s">
        <v>451</v>
      </c>
      <c r="C122" s="63">
        <f>D122+E122</f>
        <v>304600</v>
      </c>
      <c r="D122" s="63">
        <v>304600</v>
      </c>
      <c r="E122" s="63"/>
    </row>
    <row r="123" spans="1:5" ht="27" customHeight="1">
      <c r="A123" s="574"/>
      <c r="B123" s="63" t="s">
        <v>452</v>
      </c>
      <c r="C123" s="63">
        <f>D123+E123</f>
        <v>318650</v>
      </c>
      <c r="D123" s="63">
        <v>318650</v>
      </c>
      <c r="E123" s="63"/>
    </row>
    <row r="124" spans="1:5" ht="27" customHeight="1">
      <c r="A124" s="574"/>
      <c r="B124" s="63" t="s">
        <v>451</v>
      </c>
      <c r="C124" s="63">
        <v>891200</v>
      </c>
      <c r="D124" s="63">
        <v>891200</v>
      </c>
      <c r="E124" s="63">
        <v>0</v>
      </c>
    </row>
    <row r="125" spans="1:5" ht="21" customHeight="1" hidden="1">
      <c r="A125" s="574"/>
      <c r="B125" s="63" t="s">
        <v>483</v>
      </c>
      <c r="C125" s="63">
        <v>0</v>
      </c>
      <c r="D125" s="63"/>
      <c r="E125" s="63">
        <v>0</v>
      </c>
    </row>
    <row r="126" spans="1:5" ht="32.25" customHeight="1" hidden="1">
      <c r="A126" s="574"/>
      <c r="B126" s="63" t="s">
        <v>484</v>
      </c>
      <c r="C126" s="63">
        <v>0</v>
      </c>
      <c r="D126" s="63"/>
      <c r="E126" s="63">
        <v>0</v>
      </c>
    </row>
    <row r="127" spans="1:5" ht="13.5" customHeight="1">
      <c r="A127" s="575"/>
      <c r="B127" s="225" t="s">
        <v>68</v>
      </c>
      <c r="C127" s="59">
        <f>C123+C124</f>
        <v>1209850</v>
      </c>
      <c r="D127" s="59">
        <f>D123+D124</f>
        <v>1209850</v>
      </c>
      <c r="E127" s="59">
        <f>E122+E123+E125+E124+E126</f>
        <v>0</v>
      </c>
    </row>
    <row r="128" spans="1:5" ht="34.5" customHeight="1">
      <c r="A128" s="573" t="s">
        <v>403</v>
      </c>
      <c r="B128" s="63" t="s">
        <v>451</v>
      </c>
      <c r="C128" s="63">
        <f>D128+E128</f>
        <v>597840</v>
      </c>
      <c r="D128" s="63">
        <v>597840</v>
      </c>
      <c r="E128" s="63"/>
    </row>
    <row r="129" spans="1:5" ht="37.5" customHeight="1">
      <c r="A129" s="574"/>
      <c r="B129" s="63" t="s">
        <v>452</v>
      </c>
      <c r="C129" s="63">
        <f>D129+E129</f>
        <v>301925</v>
      </c>
      <c r="D129" s="63">
        <v>301925</v>
      </c>
      <c r="E129" s="63"/>
    </row>
    <row r="130" spans="1:5" ht="15" customHeight="1">
      <c r="A130" s="575"/>
      <c r="B130" s="225" t="s">
        <v>68</v>
      </c>
      <c r="C130" s="59">
        <f>C128+C129</f>
        <v>899765</v>
      </c>
      <c r="D130" s="59">
        <f>D128+D129</f>
        <v>899765</v>
      </c>
      <c r="E130" s="59">
        <f>E128</f>
        <v>0</v>
      </c>
    </row>
    <row r="131" spans="1:5" ht="33" customHeight="1">
      <c r="A131" s="573" t="s">
        <v>404</v>
      </c>
      <c r="B131" s="63" t="s">
        <v>452</v>
      </c>
      <c r="C131" s="63">
        <f>D131+E131</f>
        <v>211120</v>
      </c>
      <c r="D131" s="63">
        <v>211120</v>
      </c>
      <c r="E131" s="63"/>
    </row>
    <row r="132" spans="1:5" ht="24.75" customHeight="1" hidden="1">
      <c r="A132" s="574"/>
      <c r="B132" s="63"/>
      <c r="C132" s="63"/>
      <c r="D132" s="63"/>
      <c r="E132" s="63"/>
    </row>
    <row r="133" spans="1:5" ht="16.5" customHeight="1">
      <c r="A133" s="575"/>
      <c r="B133" s="225" t="s">
        <v>68</v>
      </c>
      <c r="C133" s="59">
        <f>C131</f>
        <v>211120</v>
      </c>
      <c r="D133" s="59">
        <f>D131</f>
        <v>211120</v>
      </c>
      <c r="E133" s="59">
        <f>E131</f>
        <v>0</v>
      </c>
    </row>
    <row r="134" spans="1:5" ht="30.75" customHeight="1">
      <c r="A134" s="573" t="s">
        <v>426</v>
      </c>
      <c r="B134" s="63" t="s">
        <v>452</v>
      </c>
      <c r="C134" s="63">
        <f>D134+E134</f>
        <v>61315</v>
      </c>
      <c r="D134" s="63">
        <v>61315</v>
      </c>
      <c r="E134" s="63"/>
    </row>
    <row r="135" spans="1:5" ht="24.75" customHeight="1" hidden="1">
      <c r="A135" s="574"/>
      <c r="B135" s="63"/>
      <c r="C135" s="63"/>
      <c r="D135" s="63"/>
      <c r="E135" s="63"/>
    </row>
    <row r="136" spans="1:5" ht="24.75" customHeight="1" hidden="1">
      <c r="A136" s="574"/>
      <c r="B136" s="63" t="s">
        <v>466</v>
      </c>
      <c r="C136" s="63">
        <v>0</v>
      </c>
      <c r="D136" s="63">
        <v>0</v>
      </c>
      <c r="E136" s="63"/>
    </row>
    <row r="137" spans="1:5" ht="18.75" customHeight="1">
      <c r="A137" s="575"/>
      <c r="B137" s="225" t="s">
        <v>68</v>
      </c>
      <c r="C137" s="59">
        <f>C134+C136</f>
        <v>61315</v>
      </c>
      <c r="D137" s="59">
        <f>D134+D136</f>
        <v>61315</v>
      </c>
      <c r="E137" s="59">
        <f>E134</f>
        <v>0</v>
      </c>
    </row>
    <row r="138" spans="1:5" ht="35.25" customHeight="1">
      <c r="A138" s="573" t="s">
        <v>427</v>
      </c>
      <c r="B138" s="63" t="s">
        <v>451</v>
      </c>
      <c r="C138" s="63">
        <f>D138+E138</f>
        <v>45380</v>
      </c>
      <c r="D138" s="63">
        <v>45380</v>
      </c>
      <c r="E138" s="63"/>
    </row>
    <row r="139" spans="1:5" ht="28.5" customHeight="1">
      <c r="A139" s="574"/>
      <c r="B139" s="63" t="s">
        <v>452</v>
      </c>
      <c r="C139" s="63">
        <f>D139+E139</f>
        <v>97160</v>
      </c>
      <c r="D139" s="63">
        <v>97160</v>
      </c>
      <c r="E139" s="63"/>
    </row>
    <row r="140" spans="1:5" ht="19.5" customHeight="1" hidden="1">
      <c r="A140" s="574"/>
      <c r="B140" s="63" t="s">
        <v>466</v>
      </c>
      <c r="C140" s="63">
        <v>0</v>
      </c>
      <c r="D140" s="63">
        <v>0</v>
      </c>
      <c r="E140" s="63"/>
    </row>
    <row r="141" spans="1:5" ht="17.25" customHeight="1">
      <c r="A141" s="575"/>
      <c r="B141" s="225" t="s">
        <v>68</v>
      </c>
      <c r="C141" s="59">
        <f>C138+C139+C140</f>
        <v>142540</v>
      </c>
      <c r="D141" s="59">
        <f>D138+D139+D140</f>
        <v>142540</v>
      </c>
      <c r="E141" s="59">
        <f>E138</f>
        <v>0</v>
      </c>
    </row>
    <row r="142" spans="1:5" ht="32.25" customHeight="1">
      <c r="A142" s="573" t="s">
        <v>354</v>
      </c>
      <c r="B142" s="63" t="s">
        <v>451</v>
      </c>
      <c r="C142" s="63">
        <f>D142+E142</f>
        <v>60650</v>
      </c>
      <c r="D142" s="63">
        <v>60650</v>
      </c>
      <c r="E142" s="63"/>
    </row>
    <row r="143" spans="1:5" ht="31.5" customHeight="1">
      <c r="A143" s="574"/>
      <c r="B143" s="63" t="s">
        <v>452</v>
      </c>
      <c r="C143" s="63">
        <f>D143+E143</f>
        <v>95960</v>
      </c>
      <c r="D143" s="63">
        <v>95960</v>
      </c>
      <c r="E143" s="63"/>
    </row>
    <row r="144" spans="1:5" ht="15" customHeight="1">
      <c r="A144" s="575"/>
      <c r="B144" s="225" t="s">
        <v>68</v>
      </c>
      <c r="C144" s="59">
        <f>C142+C143</f>
        <v>156610</v>
      </c>
      <c r="D144" s="59">
        <f>D142+D143</f>
        <v>156610</v>
      </c>
      <c r="E144" s="59">
        <f>E142</f>
        <v>0</v>
      </c>
    </row>
    <row r="145" spans="1:5" ht="33.75" customHeight="1">
      <c r="A145" s="573" t="s">
        <v>429</v>
      </c>
      <c r="B145" s="63" t="s">
        <v>451</v>
      </c>
      <c r="C145" s="63">
        <f>D145+E145</f>
        <v>107820</v>
      </c>
      <c r="D145" s="63">
        <v>107820</v>
      </c>
      <c r="E145" s="63"/>
    </row>
    <row r="146" spans="1:5" ht="34.5" customHeight="1">
      <c r="A146" s="574"/>
      <c r="B146" s="63" t="s">
        <v>452</v>
      </c>
      <c r="C146" s="63">
        <f>D146+E146</f>
        <v>317390</v>
      </c>
      <c r="D146" s="63">
        <v>317390</v>
      </c>
      <c r="E146" s="63"/>
    </row>
    <row r="147" spans="1:5" ht="18" customHeight="1">
      <c r="A147" s="575"/>
      <c r="B147" s="225" t="s">
        <v>68</v>
      </c>
      <c r="C147" s="59">
        <f>C145+C146</f>
        <v>425210</v>
      </c>
      <c r="D147" s="59">
        <f>D145+D146</f>
        <v>425210</v>
      </c>
      <c r="E147" s="59">
        <f>E145</f>
        <v>0</v>
      </c>
    </row>
    <row r="148" spans="1:5" ht="31.5" customHeight="1">
      <c r="A148" s="573" t="s">
        <v>430</v>
      </c>
      <c r="B148" s="63" t="s">
        <v>452</v>
      </c>
      <c r="C148" s="63">
        <f>D148+E148</f>
        <v>98710</v>
      </c>
      <c r="D148" s="63">
        <v>98710</v>
      </c>
      <c r="E148" s="63"/>
    </row>
    <row r="149" spans="1:5" ht="24.75" customHeight="1" hidden="1">
      <c r="A149" s="574"/>
      <c r="B149" s="63"/>
      <c r="C149" s="63"/>
      <c r="D149" s="63"/>
      <c r="E149" s="63"/>
    </row>
    <row r="150" spans="1:5" ht="17.25" customHeight="1">
      <c r="A150" s="575"/>
      <c r="B150" s="225" t="s">
        <v>68</v>
      </c>
      <c r="C150" s="59">
        <f>C148</f>
        <v>98710</v>
      </c>
      <c r="D150" s="59">
        <f>D148</f>
        <v>98710</v>
      </c>
      <c r="E150" s="59">
        <f>E148</f>
        <v>0</v>
      </c>
    </row>
    <row r="151" spans="1:5" ht="33.75" customHeight="1">
      <c r="A151" s="573" t="s">
        <v>431</v>
      </c>
      <c r="B151" s="63" t="s">
        <v>452</v>
      </c>
      <c r="C151" s="63">
        <f>D151+E151</f>
        <v>55580</v>
      </c>
      <c r="D151" s="63">
        <v>55580</v>
      </c>
      <c r="E151" s="63"/>
    </row>
    <row r="152" spans="1:5" ht="23.25" customHeight="1" hidden="1">
      <c r="A152" s="574"/>
      <c r="B152" s="63"/>
      <c r="C152" s="63"/>
      <c r="D152" s="63"/>
      <c r="E152" s="63"/>
    </row>
    <row r="153" spans="1:5" ht="30.75" customHeight="1" hidden="1">
      <c r="A153" s="574"/>
      <c r="B153" s="99" t="s">
        <v>485</v>
      </c>
      <c r="C153" s="63">
        <v>0</v>
      </c>
      <c r="D153" s="63"/>
      <c r="E153" s="63">
        <v>0</v>
      </c>
    </row>
    <row r="154" spans="1:5" ht="21.75" customHeight="1" hidden="1">
      <c r="A154" s="574"/>
      <c r="B154" s="99" t="s">
        <v>466</v>
      </c>
      <c r="C154" s="63">
        <v>0</v>
      </c>
      <c r="D154" s="63">
        <v>0</v>
      </c>
      <c r="E154" s="63"/>
    </row>
    <row r="155" spans="1:5" s="208" customFormat="1" ht="15.75" customHeight="1">
      <c r="A155" s="575"/>
      <c r="B155" s="225" t="s">
        <v>68</v>
      </c>
      <c r="C155" s="59">
        <f>C151+C153+C154</f>
        <v>55580</v>
      </c>
      <c r="D155" s="59">
        <f>D151+D154</f>
        <v>55580</v>
      </c>
      <c r="E155" s="59">
        <f>E151+E153</f>
        <v>0</v>
      </c>
    </row>
    <row r="156" spans="1:5" s="208" customFormat="1" ht="33.75" customHeight="1">
      <c r="A156" s="573" t="s">
        <v>432</v>
      </c>
      <c r="B156" s="63" t="s">
        <v>451</v>
      </c>
      <c r="C156" s="63">
        <f>D156+E156</f>
        <v>113200</v>
      </c>
      <c r="D156" s="63">
        <v>113200</v>
      </c>
      <c r="E156" s="63"/>
    </row>
    <row r="157" spans="1:5" s="208" customFormat="1" ht="30" customHeight="1">
      <c r="A157" s="574"/>
      <c r="B157" s="63" t="s">
        <v>452</v>
      </c>
      <c r="C157" s="63">
        <f>D157+E157</f>
        <v>148510</v>
      </c>
      <c r="D157" s="63">
        <v>148510</v>
      </c>
      <c r="E157" s="63"/>
    </row>
    <row r="158" spans="1:5" ht="17.25" customHeight="1">
      <c r="A158" s="575"/>
      <c r="B158" s="225" t="s">
        <v>68</v>
      </c>
      <c r="C158" s="59">
        <v>261710</v>
      </c>
      <c r="D158" s="59">
        <v>261710</v>
      </c>
      <c r="E158" s="59">
        <f>E156</f>
        <v>0</v>
      </c>
    </row>
    <row r="159" spans="1:5" ht="33" customHeight="1">
      <c r="A159" s="573" t="s">
        <v>433</v>
      </c>
      <c r="B159" s="63" t="s">
        <v>452</v>
      </c>
      <c r="C159" s="63">
        <f>D159+E159</f>
        <v>97710</v>
      </c>
      <c r="D159" s="63">
        <v>97710</v>
      </c>
      <c r="E159" s="63"/>
    </row>
    <row r="160" spans="1:5" ht="24.75" customHeight="1" hidden="1">
      <c r="A160" s="574"/>
      <c r="B160" s="63"/>
      <c r="C160" s="63"/>
      <c r="D160" s="63"/>
      <c r="E160" s="63"/>
    </row>
    <row r="161" spans="1:5" ht="24.75" customHeight="1" hidden="1">
      <c r="A161" s="574"/>
      <c r="B161" s="63" t="s">
        <v>466</v>
      </c>
      <c r="C161" s="63">
        <v>0</v>
      </c>
      <c r="D161" s="63">
        <v>0</v>
      </c>
      <c r="E161" s="63"/>
    </row>
    <row r="162" spans="1:5" ht="33" customHeight="1">
      <c r="A162" s="579"/>
      <c r="B162" s="63" t="s">
        <v>243</v>
      </c>
      <c r="C162" s="63">
        <f>E162</f>
        <v>150000</v>
      </c>
      <c r="D162" s="63"/>
      <c r="E162" s="63">
        <v>150000</v>
      </c>
    </row>
    <row r="163" spans="1:5" ht="15.75" customHeight="1">
      <c r="A163" s="575"/>
      <c r="B163" s="225" t="s">
        <v>68</v>
      </c>
      <c r="C163" s="59">
        <f>C159+C161+C162</f>
        <v>247710</v>
      </c>
      <c r="D163" s="59">
        <f>D159+D161</f>
        <v>97710</v>
      </c>
      <c r="E163" s="59">
        <f>E162</f>
        <v>150000</v>
      </c>
    </row>
    <row r="164" spans="1:5" ht="34.5" customHeight="1">
      <c r="A164" s="576" t="s">
        <v>434</v>
      </c>
      <c r="B164" s="63" t="s">
        <v>451</v>
      </c>
      <c r="C164" s="63">
        <f>D164+E164</f>
        <v>58820</v>
      </c>
      <c r="D164" s="63">
        <v>58820</v>
      </c>
      <c r="E164" s="63"/>
    </row>
    <row r="165" spans="1:5" ht="18.75" customHeight="1" hidden="1">
      <c r="A165" s="577"/>
      <c r="B165" s="99" t="s">
        <v>486</v>
      </c>
      <c r="C165" s="63">
        <v>0</v>
      </c>
      <c r="D165" s="63">
        <v>0</v>
      </c>
      <c r="E165" s="63"/>
    </row>
    <row r="166" spans="1:5" ht="32.25" customHeight="1">
      <c r="A166" s="577"/>
      <c r="B166" s="63" t="s">
        <v>452</v>
      </c>
      <c r="C166" s="63">
        <f>D166+E166</f>
        <v>78770</v>
      </c>
      <c r="D166" s="63">
        <v>78770</v>
      </c>
      <c r="E166" s="63"/>
    </row>
    <row r="167" spans="1:5" ht="21" customHeight="1" hidden="1">
      <c r="A167" s="577"/>
      <c r="B167" s="63" t="s">
        <v>466</v>
      </c>
      <c r="C167" s="63">
        <v>0</v>
      </c>
      <c r="D167" s="63">
        <v>0</v>
      </c>
      <c r="E167" s="63"/>
    </row>
    <row r="168" spans="1:5" ht="15" customHeight="1">
      <c r="A168" s="580"/>
      <c r="B168" s="225" t="s">
        <v>68</v>
      </c>
      <c r="C168" s="59">
        <f>C164+C166+C165+C167</f>
        <v>137590</v>
      </c>
      <c r="D168" s="59">
        <f>D164+D166+D165+D167</f>
        <v>137590</v>
      </c>
      <c r="E168" s="59">
        <v>0</v>
      </c>
    </row>
    <row r="169" spans="1:5" ht="26.25" customHeight="1" hidden="1">
      <c r="A169" s="576" t="s">
        <v>435</v>
      </c>
      <c r="B169" s="63" t="s">
        <v>451</v>
      </c>
      <c r="C169" s="63">
        <f>D169+E169</f>
        <v>0</v>
      </c>
      <c r="D169" s="63">
        <v>0</v>
      </c>
      <c r="E169" s="63"/>
    </row>
    <row r="170" spans="1:5" ht="30" customHeight="1" hidden="1">
      <c r="A170" s="577"/>
      <c r="B170" s="63" t="s">
        <v>452</v>
      </c>
      <c r="C170" s="63">
        <f>D170+E170</f>
        <v>0</v>
      </c>
      <c r="D170" s="63">
        <v>0</v>
      </c>
      <c r="E170" s="63"/>
    </row>
    <row r="171" spans="1:5" ht="19.5" customHeight="1" hidden="1">
      <c r="A171" s="577"/>
      <c r="B171" s="63" t="s">
        <v>466</v>
      </c>
      <c r="C171" s="63">
        <v>0</v>
      </c>
      <c r="D171" s="63">
        <v>0</v>
      </c>
      <c r="E171" s="63"/>
    </row>
    <row r="172" spans="1:5" ht="19.5" customHeight="1" hidden="1">
      <c r="A172" s="577"/>
      <c r="B172" s="63" t="s">
        <v>487</v>
      </c>
      <c r="C172" s="63">
        <v>0</v>
      </c>
      <c r="D172" s="63"/>
      <c r="E172" s="63">
        <v>0</v>
      </c>
    </row>
    <row r="173" spans="1:5" ht="15.75" customHeight="1" hidden="1">
      <c r="A173" s="580"/>
      <c r="B173" s="225" t="s">
        <v>68</v>
      </c>
      <c r="C173" s="59">
        <f>C169+C170+C171+C172</f>
        <v>0</v>
      </c>
      <c r="D173" s="59">
        <f>D169+D170+D171</f>
        <v>0</v>
      </c>
      <c r="E173" s="59">
        <v>0</v>
      </c>
    </row>
    <row r="174" spans="1:5" ht="33" customHeight="1" hidden="1">
      <c r="A174" s="576" t="s">
        <v>436</v>
      </c>
      <c r="B174" s="63" t="s">
        <v>451</v>
      </c>
      <c r="C174" s="63">
        <f>D174+E174</f>
        <v>0</v>
      </c>
      <c r="D174" s="63">
        <v>0</v>
      </c>
      <c r="E174" s="63"/>
    </row>
    <row r="175" spans="1:5" ht="21.75" customHeight="1" hidden="1">
      <c r="A175" s="577"/>
      <c r="B175" s="63" t="s">
        <v>452</v>
      </c>
      <c r="C175" s="63">
        <f>D175+E175</f>
        <v>0</v>
      </c>
      <c r="D175" s="63">
        <v>0</v>
      </c>
      <c r="E175" s="63"/>
    </row>
    <row r="176" spans="1:5" ht="14.25" customHeight="1" hidden="1">
      <c r="A176" s="580"/>
      <c r="B176" s="225" t="s">
        <v>68</v>
      </c>
      <c r="C176" s="59">
        <f>C174+C175</f>
        <v>0</v>
      </c>
      <c r="D176" s="59">
        <f>D174+D175</f>
        <v>0</v>
      </c>
      <c r="E176" s="59">
        <f>E174</f>
        <v>0</v>
      </c>
    </row>
    <row r="177" spans="1:5" ht="28.5" customHeight="1">
      <c r="A177" s="581" t="s">
        <v>437</v>
      </c>
      <c r="B177" s="63" t="s">
        <v>451</v>
      </c>
      <c r="C177" s="63">
        <f>D177+E177</f>
        <v>1073530</v>
      </c>
      <c r="D177" s="63">
        <v>1073530</v>
      </c>
      <c r="E177" s="59"/>
    </row>
    <row r="178" spans="1:5" ht="30" customHeight="1">
      <c r="A178" s="582"/>
      <c r="B178" s="63" t="s">
        <v>452</v>
      </c>
      <c r="C178" s="63">
        <f>D178+E178</f>
        <v>277210</v>
      </c>
      <c r="D178" s="63">
        <v>277210</v>
      </c>
      <c r="E178" s="63"/>
    </row>
    <row r="179" spans="1:5" ht="29.25" customHeight="1" hidden="1">
      <c r="A179" s="582"/>
      <c r="B179" s="221" t="s">
        <v>488</v>
      </c>
      <c r="C179" s="63">
        <f>D179+E179</f>
        <v>0</v>
      </c>
      <c r="D179" s="63"/>
      <c r="E179" s="63">
        <v>0</v>
      </c>
    </row>
    <row r="180" spans="1:5" ht="19.5" customHeight="1" hidden="1">
      <c r="A180" s="582"/>
      <c r="B180" s="63" t="s">
        <v>489</v>
      </c>
      <c r="C180" s="63">
        <f>D180+E180</f>
        <v>0</v>
      </c>
      <c r="D180" s="63">
        <v>0</v>
      </c>
      <c r="E180" s="63"/>
    </row>
    <row r="181" spans="1:5" ht="19.5" customHeight="1">
      <c r="A181" s="582"/>
      <c r="B181" s="63" t="s">
        <v>244</v>
      </c>
      <c r="C181" s="63">
        <f>E181</f>
        <v>325458</v>
      </c>
      <c r="D181" s="63"/>
      <c r="E181" s="63">
        <f>263000+62458</f>
        <v>325458</v>
      </c>
    </row>
    <row r="182" spans="1:5" ht="19.5" customHeight="1">
      <c r="A182" s="582"/>
      <c r="B182" s="63" t="s">
        <v>114</v>
      </c>
      <c r="C182" s="63">
        <f>D182</f>
        <v>20000</v>
      </c>
      <c r="D182" s="63">
        <v>20000</v>
      </c>
      <c r="E182" s="63"/>
    </row>
    <row r="183" spans="1:5" ht="15" customHeight="1">
      <c r="A183" s="582"/>
      <c r="B183" s="225" t="s">
        <v>68</v>
      </c>
      <c r="C183" s="59">
        <f>C178+C180+C177+C179+C181+C182</f>
        <v>1696198</v>
      </c>
      <c r="D183" s="59">
        <f>D178+D180+D177+D179+D182</f>
        <v>1370740</v>
      </c>
      <c r="E183" s="59">
        <f>E181</f>
        <v>325458</v>
      </c>
    </row>
    <row r="184" spans="1:10" ht="25.5" customHeight="1" hidden="1">
      <c r="A184" s="583"/>
      <c r="B184" s="229"/>
      <c r="C184" s="229"/>
      <c r="D184" s="230"/>
      <c r="E184" s="230"/>
      <c r="J184" s="174" t="s">
        <v>68</v>
      </c>
    </row>
    <row r="185" spans="1:5" ht="42" customHeight="1">
      <c r="A185" s="576" t="s">
        <v>438</v>
      </c>
      <c r="B185" s="231" t="s">
        <v>383</v>
      </c>
      <c r="C185" s="63">
        <f>D185+E185</f>
        <v>635800</v>
      </c>
      <c r="D185" s="232">
        <v>635800</v>
      </c>
      <c r="E185" s="233"/>
    </row>
    <row r="186" spans="1:5" ht="27.75" customHeight="1" hidden="1">
      <c r="A186" s="577"/>
      <c r="B186" s="231" t="s">
        <v>490</v>
      </c>
      <c r="C186" s="63">
        <f>D186+E186</f>
        <v>0</v>
      </c>
      <c r="D186" s="232">
        <v>0</v>
      </c>
      <c r="E186" s="233"/>
    </row>
    <row r="187" spans="1:5" ht="63.75" customHeight="1" hidden="1">
      <c r="A187" s="577"/>
      <c r="B187" s="231" t="s">
        <v>491</v>
      </c>
      <c r="C187" s="63">
        <f>D187+E187</f>
        <v>0</v>
      </c>
      <c r="D187" s="232">
        <v>0</v>
      </c>
      <c r="E187" s="233"/>
    </row>
    <row r="188" spans="1:5" ht="31.5" customHeight="1">
      <c r="A188" s="577"/>
      <c r="B188" s="231" t="s">
        <v>384</v>
      </c>
      <c r="C188" s="387">
        <f>D188</f>
        <v>5400</v>
      </c>
      <c r="D188" s="232">
        <v>5400</v>
      </c>
      <c r="E188" s="233"/>
    </row>
    <row r="189" spans="1:5" ht="63.75" customHeight="1">
      <c r="A189" s="577"/>
      <c r="B189" s="231" t="s">
        <v>270</v>
      </c>
      <c r="C189" s="387">
        <f>D189</f>
        <v>65900</v>
      </c>
      <c r="D189" s="232">
        <v>65900</v>
      </c>
      <c r="E189" s="233"/>
    </row>
    <row r="190" spans="1:5" ht="30.75" customHeight="1">
      <c r="A190" s="577"/>
      <c r="B190" s="460" t="s">
        <v>184</v>
      </c>
      <c r="C190" s="387">
        <f>E190</f>
        <v>150000</v>
      </c>
      <c r="D190" s="232"/>
      <c r="E190" s="461">
        <v>150000</v>
      </c>
    </row>
    <row r="191" spans="1:5" ht="15" customHeight="1" thickBot="1">
      <c r="A191" s="578"/>
      <c r="B191" s="225" t="s">
        <v>68</v>
      </c>
      <c r="C191" s="235">
        <f>C185+C186+C187+C188+C189+C190</f>
        <v>857100</v>
      </c>
      <c r="D191" s="235">
        <f>D185+D186+D187+D188+D189</f>
        <v>707100</v>
      </c>
      <c r="E191" s="235">
        <v>150000</v>
      </c>
    </row>
    <row r="192" spans="1:5" ht="29.25" customHeight="1" hidden="1">
      <c r="A192" s="234" t="s">
        <v>439</v>
      </c>
      <c r="B192" s="236" t="s">
        <v>492</v>
      </c>
      <c r="C192" s="237">
        <v>0</v>
      </c>
      <c r="D192" s="237"/>
      <c r="E192" s="237">
        <v>0</v>
      </c>
    </row>
    <row r="193" spans="1:5" ht="29.25" customHeight="1">
      <c r="A193" s="591" t="s">
        <v>439</v>
      </c>
      <c r="B193" s="458" t="s">
        <v>493</v>
      </c>
      <c r="C193" s="459">
        <v>480000</v>
      </c>
      <c r="D193" s="459"/>
      <c r="E193" s="459">
        <v>480000</v>
      </c>
    </row>
    <row r="194" spans="1:5" ht="61.5" customHeight="1">
      <c r="A194" s="577"/>
      <c r="B194" s="390" t="s">
        <v>361</v>
      </c>
      <c r="C194" s="229">
        <f>D194</f>
        <v>7600</v>
      </c>
      <c r="D194" s="229">
        <v>7600</v>
      </c>
      <c r="E194" s="229"/>
    </row>
    <row r="195" spans="1:5" ht="31.5" customHeight="1">
      <c r="A195" s="577"/>
      <c r="B195" s="390" t="s">
        <v>141</v>
      </c>
      <c r="C195" s="229">
        <v>3000</v>
      </c>
      <c r="D195" s="229">
        <v>3000</v>
      </c>
      <c r="E195" s="229"/>
    </row>
    <row r="196" spans="1:5" ht="29.25" customHeight="1" thickBot="1">
      <c r="A196" s="578"/>
      <c r="B196" s="390" t="s">
        <v>68</v>
      </c>
      <c r="C196" s="235">
        <f>C193+C194+C195</f>
        <v>490600</v>
      </c>
      <c r="D196" s="235">
        <f>D194+D195</f>
        <v>10600</v>
      </c>
      <c r="E196" s="235">
        <f>E193</f>
        <v>480000</v>
      </c>
    </row>
    <row r="197" spans="1:5" ht="29.25" customHeight="1" thickBot="1">
      <c r="A197" s="234" t="s">
        <v>544</v>
      </c>
      <c r="B197" s="390" t="s">
        <v>406</v>
      </c>
      <c r="C197" s="229">
        <f>D197</f>
        <v>1194000</v>
      </c>
      <c r="D197" s="229">
        <f>1170000+20000+4000</f>
        <v>1194000</v>
      </c>
      <c r="E197" s="235"/>
    </row>
    <row r="198" spans="1:5" ht="21" customHeight="1" thickBot="1">
      <c r="A198" s="187"/>
      <c r="B198" s="429"/>
      <c r="C198" s="497">
        <f>C15+C19+C24+C28+C31+C36+C43+C47+C53+C56+C62+C65+C68+C71+C75+C80+C84+C89+C93+C97+C100+C103+C112+C117+C121+C127+C130+C133+C137+C141+C144+C147+C150+C155+C158+C163+C168+C173+C176+C183+C191+C192+C193+C197+C194+C195</f>
        <v>18161520.2</v>
      </c>
      <c r="D198" s="430">
        <f>D15+D19+D24+D28+D31+D36+D43+D47+D53+D56+D62+D65+D68+D71+D75+D80+D84+D89+D93+D97+D100+D103+D112+D117+D121+D127+D130+D133+D137+D141+D144+D147+D150+D155+D158+D163+D168+D173+D176+D183+D191+D197+D196</f>
        <v>16933100</v>
      </c>
      <c r="E198" s="497">
        <f>E193+E53+E43+E89+E163+E183+E24+E191</f>
        <v>1228420.2</v>
      </c>
    </row>
    <row r="199" spans="1:5" ht="18.75">
      <c r="A199" s="161" t="s">
        <v>248</v>
      </c>
      <c r="B199" s="191"/>
      <c r="C199" s="191"/>
      <c r="D199" s="161" t="s">
        <v>249</v>
      </c>
      <c r="E199" s="238"/>
    </row>
    <row r="200" spans="1:5" ht="36" customHeight="1">
      <c r="A200" s="193"/>
      <c r="B200" s="194"/>
      <c r="C200" s="194"/>
      <c r="D200" s="194"/>
      <c r="E200" s="194"/>
    </row>
  </sheetData>
  <sheetProtection/>
  <mergeCells count="44">
    <mergeCell ref="A29:A31"/>
    <mergeCell ref="A193:A196"/>
    <mergeCell ref="A66:A68"/>
    <mergeCell ref="A69:A71"/>
    <mergeCell ref="A48:A53"/>
    <mergeCell ref="A54:A56"/>
    <mergeCell ref="A63:A65"/>
    <mergeCell ref="A72:A75"/>
    <mergeCell ref="A81:A84"/>
    <mergeCell ref="A85:A89"/>
    <mergeCell ref="B4:E4"/>
    <mergeCell ref="A5:D5"/>
    <mergeCell ref="A9:A15"/>
    <mergeCell ref="A20:A24"/>
    <mergeCell ref="A16:A19"/>
    <mergeCell ref="A25:A28"/>
    <mergeCell ref="A94:A97"/>
    <mergeCell ref="A113:A117"/>
    <mergeCell ref="A32:A36"/>
    <mergeCell ref="A104:A112"/>
    <mergeCell ref="A37:A43"/>
    <mergeCell ref="A44:A47"/>
    <mergeCell ref="A98:A100"/>
    <mergeCell ref="A101:A103"/>
    <mergeCell ref="A57:A62"/>
    <mergeCell ref="A90:A93"/>
    <mergeCell ref="A76:A80"/>
    <mergeCell ref="A118:A121"/>
    <mergeCell ref="A122:A127"/>
    <mergeCell ref="A145:A147"/>
    <mergeCell ref="A142:A144"/>
    <mergeCell ref="A128:A130"/>
    <mergeCell ref="A131:A133"/>
    <mergeCell ref="A134:A137"/>
    <mergeCell ref="A138:A141"/>
    <mergeCell ref="A148:A150"/>
    <mergeCell ref="A151:A155"/>
    <mergeCell ref="A185:A191"/>
    <mergeCell ref="A156:A158"/>
    <mergeCell ref="A159:A163"/>
    <mergeCell ref="A164:A168"/>
    <mergeCell ref="A169:A173"/>
    <mergeCell ref="A174:A176"/>
    <mergeCell ref="A177:A184"/>
  </mergeCells>
  <printOptions horizontalCentered="1"/>
  <pageMargins left="0.1968503937007874" right="0" top="0.57" bottom="1.04" header="0.56" footer="0.59"/>
  <pageSetup fitToHeight="0" horizontalDpi="600" verticalDpi="600" orientation="portrait" paperSize="9" scale="6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tabColor indexed="11"/>
  </sheetPr>
  <dimension ref="A1:R268"/>
  <sheetViews>
    <sheetView zoomScalePageLayoutView="0" workbookViewId="0" topLeftCell="A36">
      <selection activeCell="F42" sqref="F42"/>
    </sheetView>
  </sheetViews>
  <sheetFormatPr defaultColWidth="10.33203125" defaultRowHeight="12.75"/>
  <cols>
    <col min="1" max="1" width="18.5" style="5" customWidth="1"/>
    <col min="2" max="2" width="13.16015625" style="5" customWidth="1"/>
    <col min="3" max="3" width="10.16015625" style="5" customWidth="1"/>
    <col min="4" max="4" width="38" style="5" customWidth="1"/>
    <col min="5" max="5" width="55" style="5" customWidth="1"/>
    <col min="6" max="6" width="17" style="5" customWidth="1"/>
    <col min="7" max="7" width="15.83203125" style="5" customWidth="1"/>
    <col min="8" max="8" width="18.16015625" style="5" customWidth="1"/>
    <col min="9" max="16384" width="10.33203125" style="5" customWidth="1"/>
  </cols>
  <sheetData>
    <row r="1" spans="3:8" ht="16.5">
      <c r="C1" s="239"/>
      <c r="D1" s="239"/>
      <c r="E1" s="239"/>
      <c r="F1" s="239"/>
      <c r="G1" s="379" t="s">
        <v>341</v>
      </c>
      <c r="H1" s="379"/>
    </row>
    <row r="2" spans="3:8" ht="16.5" customHeight="1">
      <c r="C2" s="239"/>
      <c r="D2" s="239"/>
      <c r="E2" s="239"/>
      <c r="F2" s="239"/>
      <c r="G2" s="379" t="s">
        <v>342</v>
      </c>
      <c r="H2" s="379"/>
    </row>
    <row r="3" spans="3:8" ht="16.5" customHeight="1">
      <c r="C3" s="239"/>
      <c r="D3" s="239"/>
      <c r="E3" s="239"/>
      <c r="F3" s="239"/>
      <c r="G3" s="379" t="s">
        <v>129</v>
      </c>
      <c r="H3" s="379"/>
    </row>
    <row r="4" spans="3:10" ht="11.25" customHeight="1">
      <c r="C4" s="239"/>
      <c r="D4" s="239"/>
      <c r="E4" s="239"/>
      <c r="F4" s="595"/>
      <c r="G4" s="595"/>
      <c r="H4" s="595"/>
      <c r="J4" s="240"/>
    </row>
    <row r="5" spans="3:8" ht="42.75" customHeight="1">
      <c r="C5" s="596" t="s">
        <v>355</v>
      </c>
      <c r="D5" s="596"/>
      <c r="E5" s="596"/>
      <c r="F5" s="596"/>
      <c r="G5" s="596"/>
      <c r="H5" s="596"/>
    </row>
    <row r="6" spans="3:8" ht="12" customHeight="1">
      <c r="C6" s="239"/>
      <c r="D6" s="239"/>
      <c r="E6" s="239"/>
      <c r="F6" s="239"/>
      <c r="G6" s="239"/>
      <c r="H6" s="241" t="s">
        <v>494</v>
      </c>
    </row>
    <row r="7" spans="1:8" ht="70.5" customHeight="1">
      <c r="A7" s="602" t="s">
        <v>356</v>
      </c>
      <c r="B7" s="602" t="s">
        <v>281</v>
      </c>
      <c r="C7" s="604" t="s">
        <v>357</v>
      </c>
      <c r="D7" s="602" t="s">
        <v>282</v>
      </c>
      <c r="E7" s="597" t="s">
        <v>106</v>
      </c>
      <c r="F7" s="597" t="s">
        <v>65</v>
      </c>
      <c r="G7" s="597" t="s">
        <v>66</v>
      </c>
      <c r="H7" s="597" t="s">
        <v>107</v>
      </c>
    </row>
    <row r="8" spans="1:8" ht="6.75" customHeight="1">
      <c r="A8" s="603"/>
      <c r="B8" s="603"/>
      <c r="C8" s="560"/>
      <c r="D8" s="560"/>
      <c r="E8" s="597"/>
      <c r="F8" s="597"/>
      <c r="G8" s="597"/>
      <c r="H8" s="597"/>
    </row>
    <row r="9" spans="1:8" ht="12.75">
      <c r="A9" s="294">
        <v>1</v>
      </c>
      <c r="B9" s="294">
        <v>2</v>
      </c>
      <c r="C9" s="293">
        <v>3</v>
      </c>
      <c r="D9" s="242">
        <v>4</v>
      </c>
      <c r="E9" s="242">
        <v>5</v>
      </c>
      <c r="F9" s="242">
        <v>6</v>
      </c>
      <c r="G9" s="242">
        <v>7</v>
      </c>
      <c r="H9" s="242">
        <v>8</v>
      </c>
    </row>
    <row r="10" spans="1:9" ht="14.25" customHeight="1">
      <c r="A10" s="313" t="s">
        <v>99</v>
      </c>
      <c r="B10" s="294"/>
      <c r="C10" s="295"/>
      <c r="D10" s="316" t="s">
        <v>495</v>
      </c>
      <c r="E10" s="317"/>
      <c r="F10" s="318">
        <f>SUM(F12:F12)</f>
        <v>240000</v>
      </c>
      <c r="G10" s="318"/>
      <c r="H10" s="318">
        <f>SUM(H12:H12)</f>
        <v>240000</v>
      </c>
      <c r="I10" s="246"/>
    </row>
    <row r="11" spans="1:9" ht="14.25" customHeight="1">
      <c r="A11" s="313" t="s">
        <v>74</v>
      </c>
      <c r="B11" s="294"/>
      <c r="C11" s="295"/>
      <c r="D11" s="319" t="s">
        <v>495</v>
      </c>
      <c r="E11" s="320"/>
      <c r="F11" s="321">
        <f>F12</f>
        <v>240000</v>
      </c>
      <c r="G11" s="321"/>
      <c r="H11" s="321">
        <f>H12</f>
        <v>240000</v>
      </c>
      <c r="I11" s="246"/>
    </row>
    <row r="12" spans="1:9" ht="42" customHeight="1">
      <c r="A12" s="383" t="s">
        <v>263</v>
      </c>
      <c r="B12" s="314">
        <v>8600</v>
      </c>
      <c r="C12" s="315" t="s">
        <v>180</v>
      </c>
      <c r="D12" s="322" t="s">
        <v>181</v>
      </c>
      <c r="E12" s="323" t="s">
        <v>496</v>
      </c>
      <c r="F12" s="324">
        <v>240000</v>
      </c>
      <c r="G12" s="324"/>
      <c r="H12" s="324">
        <f>F12+G12</f>
        <v>240000</v>
      </c>
      <c r="I12" s="246"/>
    </row>
    <row r="13" spans="1:9" ht="25.5">
      <c r="A13" s="325" t="s">
        <v>358</v>
      </c>
      <c r="B13" s="326"/>
      <c r="C13" s="327"/>
      <c r="D13" s="328" t="s">
        <v>182</v>
      </c>
      <c r="E13" s="329"/>
      <c r="F13" s="330">
        <f>SUM(F15:F19)</f>
        <v>56000</v>
      </c>
      <c r="G13" s="330"/>
      <c r="H13" s="330">
        <f>SUM(H15:H19)</f>
        <v>56000</v>
      </c>
      <c r="I13" s="246"/>
    </row>
    <row r="14" spans="1:9" ht="25.5">
      <c r="A14" s="331" t="s">
        <v>359</v>
      </c>
      <c r="B14" s="332"/>
      <c r="C14" s="327"/>
      <c r="D14" s="328" t="s">
        <v>182</v>
      </c>
      <c r="E14" s="329"/>
      <c r="F14" s="330">
        <f>F15+F19</f>
        <v>56000</v>
      </c>
      <c r="G14" s="330"/>
      <c r="H14" s="330">
        <f>H15+H19</f>
        <v>56000</v>
      </c>
      <c r="I14" s="246"/>
    </row>
    <row r="15" spans="1:9" ht="42" customHeight="1">
      <c r="A15" s="331" t="s">
        <v>360</v>
      </c>
      <c r="B15" s="332">
        <v>8600</v>
      </c>
      <c r="C15" s="333" t="s">
        <v>180</v>
      </c>
      <c r="D15" s="334" t="s">
        <v>181</v>
      </c>
      <c r="E15" s="335" t="s">
        <v>497</v>
      </c>
      <c r="F15" s="336">
        <v>10000</v>
      </c>
      <c r="G15" s="336"/>
      <c r="H15" s="336">
        <f>F15+G15</f>
        <v>10000</v>
      </c>
      <c r="I15" s="246"/>
    </row>
    <row r="16" spans="1:9" ht="52.5" customHeight="1" hidden="1">
      <c r="A16" s="294"/>
      <c r="B16" s="294"/>
      <c r="C16" s="296" t="s">
        <v>498</v>
      </c>
      <c r="D16" s="247" t="s">
        <v>181</v>
      </c>
      <c r="E16" s="183" t="s">
        <v>499</v>
      </c>
      <c r="F16" s="249"/>
      <c r="G16" s="251"/>
      <c r="H16" s="249"/>
      <c r="I16" s="246"/>
    </row>
    <row r="17" spans="1:9" ht="66.75" customHeight="1" hidden="1">
      <c r="A17" s="294"/>
      <c r="B17" s="294"/>
      <c r="C17" s="296" t="s">
        <v>500</v>
      </c>
      <c r="D17" s="252" t="s">
        <v>501</v>
      </c>
      <c r="E17" s="183" t="s">
        <v>502</v>
      </c>
      <c r="F17" s="249"/>
      <c r="G17" s="249"/>
      <c r="H17" s="249">
        <f>F17+G17</f>
        <v>0</v>
      </c>
      <c r="I17" s="246"/>
    </row>
    <row r="18" spans="1:9" ht="75.75" customHeight="1" hidden="1">
      <c r="A18" s="294"/>
      <c r="B18" s="294"/>
      <c r="C18" s="297">
        <v>6650</v>
      </c>
      <c r="D18" s="253" t="s">
        <v>509</v>
      </c>
      <c r="E18" s="254" t="s">
        <v>510</v>
      </c>
      <c r="F18" s="249">
        <v>0</v>
      </c>
      <c r="G18" s="249"/>
      <c r="H18" s="249">
        <f>F18+G18</f>
        <v>0</v>
      </c>
      <c r="I18" s="246"/>
    </row>
    <row r="19" spans="1:9" ht="47.25" customHeight="1">
      <c r="A19" s="383" t="s">
        <v>360</v>
      </c>
      <c r="B19" s="383">
        <v>8600</v>
      </c>
      <c r="C19" s="315" t="s">
        <v>180</v>
      </c>
      <c r="D19" s="334" t="s">
        <v>181</v>
      </c>
      <c r="E19" s="469" t="s">
        <v>517</v>
      </c>
      <c r="F19" s="347">
        <f>17000+29000</f>
        <v>46000</v>
      </c>
      <c r="G19" s="347"/>
      <c r="H19" s="347">
        <f>17000+29000</f>
        <v>46000</v>
      </c>
      <c r="I19" s="246"/>
    </row>
    <row r="20" spans="1:9" ht="42" customHeight="1">
      <c r="A20" s="326">
        <v>1100000</v>
      </c>
      <c r="B20" s="337"/>
      <c r="C20" s="338"/>
      <c r="D20" s="339" t="s">
        <v>196</v>
      </c>
      <c r="E20" s="340"/>
      <c r="F20" s="330">
        <f>SUM(F26+F29+F28+F22+F33+F34)</f>
        <v>694700</v>
      </c>
      <c r="G20" s="330"/>
      <c r="H20" s="330">
        <f>SUM(H26+H29+H28+H22+H33+H34)</f>
        <v>694700</v>
      </c>
      <c r="I20" s="246"/>
    </row>
    <row r="21" spans="1:9" ht="39.75" customHeight="1">
      <c r="A21" s="332">
        <v>1110000</v>
      </c>
      <c r="B21" s="341"/>
      <c r="C21" s="338"/>
      <c r="D21" s="339" t="s">
        <v>196</v>
      </c>
      <c r="E21" s="340"/>
      <c r="F21" s="330">
        <f>F20</f>
        <v>694700</v>
      </c>
      <c r="G21" s="330"/>
      <c r="H21" s="330">
        <f>H20</f>
        <v>694700</v>
      </c>
      <c r="I21" s="246"/>
    </row>
    <row r="22" spans="1:9" ht="39.75" customHeight="1">
      <c r="A22" s="332">
        <v>1113130</v>
      </c>
      <c r="B22" s="384">
        <v>3130</v>
      </c>
      <c r="C22" s="363"/>
      <c r="D22" s="96" t="s">
        <v>14</v>
      </c>
      <c r="E22" s="598" t="s">
        <v>530</v>
      </c>
      <c r="F22" s="330">
        <f>F23+F24</f>
        <v>8700</v>
      </c>
      <c r="G22" s="330"/>
      <c r="H22" s="330">
        <f>H23+H24</f>
        <v>8700</v>
      </c>
      <c r="I22" s="246"/>
    </row>
    <row r="23" spans="1:9" ht="39.75" customHeight="1">
      <c r="A23" s="332">
        <v>1113133</v>
      </c>
      <c r="B23" s="384">
        <v>3133</v>
      </c>
      <c r="C23" s="363" t="s">
        <v>197</v>
      </c>
      <c r="D23" s="96" t="s">
        <v>528</v>
      </c>
      <c r="E23" s="599"/>
      <c r="F23" s="330">
        <v>5000</v>
      </c>
      <c r="G23" s="330"/>
      <c r="H23" s="330">
        <v>5000</v>
      </c>
      <c r="I23" s="246"/>
    </row>
    <row r="24" spans="1:9" ht="39.75" customHeight="1">
      <c r="A24" s="332">
        <v>1113134</v>
      </c>
      <c r="B24" s="384">
        <v>3134</v>
      </c>
      <c r="C24" s="363" t="s">
        <v>197</v>
      </c>
      <c r="D24" s="96" t="s">
        <v>529</v>
      </c>
      <c r="E24" s="599"/>
      <c r="F24" s="330">
        <v>3700</v>
      </c>
      <c r="G24" s="330"/>
      <c r="H24" s="330">
        <v>3700</v>
      </c>
      <c r="I24" s="246"/>
    </row>
    <row r="25" spans="1:9" ht="39.75" customHeight="1">
      <c r="A25" s="332">
        <v>1113140</v>
      </c>
      <c r="B25" s="384">
        <v>3140</v>
      </c>
      <c r="C25" s="338"/>
      <c r="D25" s="96" t="s">
        <v>259</v>
      </c>
      <c r="E25" s="599"/>
      <c r="F25" s="330">
        <f>F26</f>
        <v>21300</v>
      </c>
      <c r="G25" s="330"/>
      <c r="H25" s="330">
        <f>H26</f>
        <v>21300</v>
      </c>
      <c r="I25" s="246"/>
    </row>
    <row r="26" spans="1:9" ht="51.75" customHeight="1">
      <c r="A26" s="332">
        <v>1113141</v>
      </c>
      <c r="B26" s="332">
        <v>3141</v>
      </c>
      <c r="C26" s="342" t="s">
        <v>197</v>
      </c>
      <c r="D26" s="382" t="s">
        <v>15</v>
      </c>
      <c r="E26" s="600"/>
      <c r="F26" s="344">
        <v>21300</v>
      </c>
      <c r="G26" s="336"/>
      <c r="H26" s="336">
        <f>F26+G26</f>
        <v>21300</v>
      </c>
      <c r="I26" s="246"/>
    </row>
    <row r="27" spans="1:9" ht="35.25" customHeight="1">
      <c r="A27" s="332">
        <v>1115060</v>
      </c>
      <c r="B27" s="332">
        <v>5060</v>
      </c>
      <c r="C27" s="342"/>
      <c r="D27" s="96" t="s">
        <v>260</v>
      </c>
      <c r="E27" s="343"/>
      <c r="F27" s="344">
        <f>F28</f>
        <v>200000</v>
      </c>
      <c r="G27" s="336"/>
      <c r="H27" s="336">
        <f>H28</f>
        <v>200000</v>
      </c>
      <c r="I27" s="246"/>
    </row>
    <row r="28" spans="1:9" ht="63.75" customHeight="1">
      <c r="A28" s="332">
        <v>1115062</v>
      </c>
      <c r="B28" s="332">
        <v>5062</v>
      </c>
      <c r="C28" s="333" t="s">
        <v>183</v>
      </c>
      <c r="D28" s="382" t="s">
        <v>19</v>
      </c>
      <c r="E28" s="340" t="s">
        <v>511</v>
      </c>
      <c r="F28" s="344">
        <f>100000+100000</f>
        <v>200000</v>
      </c>
      <c r="G28" s="336"/>
      <c r="H28" s="336">
        <f>F28+G28</f>
        <v>200000</v>
      </c>
      <c r="I28" s="246"/>
    </row>
    <row r="29" spans="1:9" ht="60" customHeight="1" hidden="1">
      <c r="A29" s="294"/>
      <c r="B29" s="294"/>
      <c r="C29" s="298" t="s">
        <v>498</v>
      </c>
      <c r="D29" s="257" t="s">
        <v>181</v>
      </c>
      <c r="E29" s="258" t="s">
        <v>512</v>
      </c>
      <c r="F29" s="251"/>
      <c r="G29" s="249"/>
      <c r="H29" s="249"/>
      <c r="I29" s="246"/>
    </row>
    <row r="30" spans="1:9" ht="63" hidden="1">
      <c r="A30" s="294"/>
      <c r="B30" s="294"/>
      <c r="C30" s="299">
        <v>14</v>
      </c>
      <c r="D30" s="259" t="s">
        <v>513</v>
      </c>
      <c r="E30" s="260"/>
      <c r="F30" s="245">
        <f>F32+F31</f>
        <v>0</v>
      </c>
      <c r="G30" s="245">
        <f>G32+G31</f>
        <v>0</v>
      </c>
      <c r="H30" s="245">
        <f>H32+H31</f>
        <v>0</v>
      </c>
      <c r="I30" s="246"/>
    </row>
    <row r="31" spans="1:9" ht="84.75" customHeight="1" hidden="1">
      <c r="A31" s="294"/>
      <c r="B31" s="294"/>
      <c r="C31" s="300" t="s">
        <v>514</v>
      </c>
      <c r="D31" s="261" t="s">
        <v>515</v>
      </c>
      <c r="E31" s="262" t="s">
        <v>516</v>
      </c>
      <c r="F31" s="249"/>
      <c r="G31" s="249"/>
      <c r="H31" s="249">
        <f>F31+G31</f>
        <v>0</v>
      </c>
      <c r="I31" s="246"/>
    </row>
    <row r="32" spans="1:9" ht="113.25" customHeight="1" hidden="1">
      <c r="A32" s="294"/>
      <c r="B32" s="294"/>
      <c r="C32" s="300" t="s">
        <v>514</v>
      </c>
      <c r="D32" s="261" t="s">
        <v>515</v>
      </c>
      <c r="E32" s="248" t="s">
        <v>518</v>
      </c>
      <c r="F32" s="249"/>
      <c r="G32" s="249"/>
      <c r="H32" s="249">
        <f>F32+G32</f>
        <v>0</v>
      </c>
      <c r="I32" s="246"/>
    </row>
    <row r="33" spans="1:9" ht="54.75" customHeight="1">
      <c r="A33" s="326">
        <v>1118600</v>
      </c>
      <c r="B33" s="326">
        <v>8600</v>
      </c>
      <c r="C33" s="431" t="s">
        <v>180</v>
      </c>
      <c r="D33" s="432" t="s">
        <v>181</v>
      </c>
      <c r="E33" s="242" t="s">
        <v>407</v>
      </c>
      <c r="F33" s="347">
        <f>10000+5400</f>
        <v>15400</v>
      </c>
      <c r="G33" s="347"/>
      <c r="H33" s="347">
        <f>10000+5400</f>
        <v>15400</v>
      </c>
      <c r="I33" s="246"/>
    </row>
    <row r="34" spans="1:9" ht="82.5" customHeight="1">
      <c r="A34" s="326">
        <v>1113160</v>
      </c>
      <c r="B34" s="326">
        <v>3160</v>
      </c>
      <c r="C34" s="431" t="s">
        <v>197</v>
      </c>
      <c r="D34" s="432" t="s">
        <v>300</v>
      </c>
      <c r="E34" s="242" t="s">
        <v>409</v>
      </c>
      <c r="F34" s="347">
        <f>100000+105100+85000+159200</f>
        <v>449300</v>
      </c>
      <c r="G34" s="347"/>
      <c r="H34" s="347">
        <f>F34</f>
        <v>449300</v>
      </c>
      <c r="I34" s="246"/>
    </row>
    <row r="35" spans="1:9" ht="51.75" customHeight="1">
      <c r="A35" s="326">
        <v>1400000</v>
      </c>
      <c r="B35" s="326"/>
      <c r="C35" s="431"/>
      <c r="D35" s="433" t="s">
        <v>513</v>
      </c>
      <c r="E35" s="242"/>
      <c r="F35" s="321">
        <f>F36</f>
        <v>510000</v>
      </c>
      <c r="G35" s="321"/>
      <c r="H35" s="321">
        <f>H36</f>
        <v>510000</v>
      </c>
      <c r="I35" s="246"/>
    </row>
    <row r="36" spans="1:9" ht="43.5" customHeight="1">
      <c r="A36" s="326">
        <v>1410000</v>
      </c>
      <c r="B36" s="326"/>
      <c r="C36" s="431"/>
      <c r="D36" s="433" t="s">
        <v>513</v>
      </c>
      <c r="E36" s="242"/>
      <c r="F36" s="321">
        <f>F37+F38</f>
        <v>510000</v>
      </c>
      <c r="G36" s="321"/>
      <c r="H36" s="321">
        <f>H37+H38</f>
        <v>510000</v>
      </c>
      <c r="I36" s="246"/>
    </row>
    <row r="37" spans="1:9" ht="82.5" customHeight="1">
      <c r="A37" s="326">
        <v>1412180</v>
      </c>
      <c r="B37" s="326">
        <v>2180</v>
      </c>
      <c r="C37" s="431" t="s">
        <v>203</v>
      </c>
      <c r="D37" s="434" t="s">
        <v>204</v>
      </c>
      <c r="E37" s="242" t="s">
        <v>518</v>
      </c>
      <c r="F37" s="347">
        <f>150000+100000+100000</f>
        <v>350000</v>
      </c>
      <c r="G37" s="347"/>
      <c r="H37" s="347">
        <f>F37</f>
        <v>350000</v>
      </c>
      <c r="I37" s="246"/>
    </row>
    <row r="38" spans="1:9" ht="82.5" customHeight="1">
      <c r="A38" s="326">
        <v>1412180</v>
      </c>
      <c r="B38" s="326">
        <v>2180</v>
      </c>
      <c r="C38" s="431" t="s">
        <v>203</v>
      </c>
      <c r="D38" s="434" t="s">
        <v>204</v>
      </c>
      <c r="E38" s="242" t="s">
        <v>410</v>
      </c>
      <c r="F38" s="347">
        <f>160000</f>
        <v>160000</v>
      </c>
      <c r="G38" s="347"/>
      <c r="H38" s="347">
        <f>F38</f>
        <v>160000</v>
      </c>
      <c r="I38" s="246"/>
    </row>
    <row r="39" spans="1:9" ht="52.5" customHeight="1">
      <c r="A39" s="314">
        <v>1500000</v>
      </c>
      <c r="B39" s="294"/>
      <c r="C39" s="299"/>
      <c r="D39" s="316" t="s">
        <v>519</v>
      </c>
      <c r="E39" s="360"/>
      <c r="F39" s="318">
        <f>F41+F42+F43+F48+F50+F51+F52+F45</f>
        <v>1143100</v>
      </c>
      <c r="G39" s="318"/>
      <c r="H39" s="318">
        <f>H41+H42+H43+H48+H50+H51+H52+H45</f>
        <v>1143100</v>
      </c>
      <c r="I39" s="246"/>
    </row>
    <row r="40" spans="1:9" ht="52.5" customHeight="1">
      <c r="A40" s="314">
        <v>1510000</v>
      </c>
      <c r="B40" s="294"/>
      <c r="C40" s="345"/>
      <c r="D40" s="319" t="s">
        <v>519</v>
      </c>
      <c r="E40" s="361"/>
      <c r="F40" s="321">
        <f>F39</f>
        <v>1143100</v>
      </c>
      <c r="G40" s="321"/>
      <c r="H40" s="321">
        <f>H39</f>
        <v>1143100</v>
      </c>
      <c r="I40" s="246"/>
    </row>
    <row r="41" spans="1:9" ht="114.75" customHeight="1">
      <c r="A41" s="605">
        <v>1513400</v>
      </c>
      <c r="B41" s="605">
        <v>3400</v>
      </c>
      <c r="C41" s="607" t="s">
        <v>295</v>
      </c>
      <c r="D41" s="609" t="s">
        <v>296</v>
      </c>
      <c r="E41" s="346" t="s">
        <v>370</v>
      </c>
      <c r="F41" s="347">
        <v>250000</v>
      </c>
      <c r="G41" s="347"/>
      <c r="H41" s="347">
        <f>F41+G41</f>
        <v>250000</v>
      </c>
      <c r="I41" s="246"/>
    </row>
    <row r="42" spans="1:9" ht="52.5" customHeight="1">
      <c r="A42" s="606"/>
      <c r="B42" s="606"/>
      <c r="C42" s="608"/>
      <c r="D42" s="610"/>
      <c r="E42" s="348" t="s">
        <v>526</v>
      </c>
      <c r="F42" s="347">
        <f>200000+100000+9600</f>
        <v>309600</v>
      </c>
      <c r="G42" s="347"/>
      <c r="H42" s="347">
        <f>F42+G42</f>
        <v>309600</v>
      </c>
      <c r="I42" s="246"/>
    </row>
    <row r="43" spans="1:9" ht="88.5" customHeight="1">
      <c r="A43" s="314">
        <v>1513190</v>
      </c>
      <c r="B43" s="314">
        <v>3190</v>
      </c>
      <c r="C43" s="349">
        <v>1060</v>
      </c>
      <c r="D43" s="350" t="s">
        <v>508</v>
      </c>
      <c r="E43" s="351" t="s">
        <v>546</v>
      </c>
      <c r="F43" s="347">
        <f>40000-7000</f>
        <v>33000</v>
      </c>
      <c r="G43" s="347"/>
      <c r="H43" s="347">
        <f aca="true" t="shared" si="0" ref="H43:H53">F43+G43</f>
        <v>33000</v>
      </c>
      <c r="I43" s="246"/>
    </row>
    <row r="44" spans="1:9" ht="35.25" customHeight="1">
      <c r="A44" s="314">
        <v>1513200</v>
      </c>
      <c r="B44" s="314">
        <v>3200</v>
      </c>
      <c r="C44" s="349"/>
      <c r="D44" s="136" t="s">
        <v>146</v>
      </c>
      <c r="E44" s="351"/>
      <c r="F44" s="347">
        <f>F45</f>
        <v>63500</v>
      </c>
      <c r="G44" s="347"/>
      <c r="H44" s="347">
        <f>H45</f>
        <v>63500</v>
      </c>
      <c r="I44" s="246"/>
    </row>
    <row r="45" spans="1:9" ht="50.25" customHeight="1">
      <c r="A45" s="314">
        <v>1513202</v>
      </c>
      <c r="B45" s="314">
        <v>3202</v>
      </c>
      <c r="C45" s="349">
        <v>1030</v>
      </c>
      <c r="D45" s="352" t="s">
        <v>547</v>
      </c>
      <c r="E45" s="348" t="s">
        <v>526</v>
      </c>
      <c r="F45" s="347">
        <v>63500</v>
      </c>
      <c r="G45" s="347"/>
      <c r="H45" s="347">
        <f t="shared" si="0"/>
        <v>63500</v>
      </c>
      <c r="I45" s="246"/>
    </row>
    <row r="46" spans="1:9" ht="21.75" customHeight="1" hidden="1">
      <c r="A46" s="294"/>
      <c r="B46" s="294"/>
      <c r="C46" s="301" t="s">
        <v>548</v>
      </c>
      <c r="D46" s="263" t="s">
        <v>305</v>
      </c>
      <c r="E46" s="260"/>
      <c r="F46" s="249"/>
      <c r="G46" s="249"/>
      <c r="H46" s="249">
        <f t="shared" si="0"/>
        <v>0</v>
      </c>
      <c r="I46" s="246"/>
    </row>
    <row r="47" spans="1:9" ht="21.75" customHeight="1" hidden="1">
      <c r="A47" s="294"/>
      <c r="B47" s="294"/>
      <c r="C47" s="353" t="s">
        <v>549</v>
      </c>
      <c r="D47" s="354" t="s">
        <v>550</v>
      </c>
      <c r="E47" s="592" t="s">
        <v>551</v>
      </c>
      <c r="F47" s="347"/>
      <c r="G47" s="347"/>
      <c r="H47" s="347">
        <f t="shared" si="0"/>
        <v>0</v>
      </c>
      <c r="I47" s="246"/>
    </row>
    <row r="48" spans="1:9" ht="123" customHeight="1" hidden="1">
      <c r="A48" s="294"/>
      <c r="B48" s="294"/>
      <c r="C48" s="353" t="s">
        <v>552</v>
      </c>
      <c r="D48" s="354" t="s">
        <v>553</v>
      </c>
      <c r="E48" s="593"/>
      <c r="F48" s="347"/>
      <c r="G48" s="347"/>
      <c r="H48" s="347">
        <f t="shared" si="0"/>
        <v>0</v>
      </c>
      <c r="I48" s="246"/>
    </row>
    <row r="49" spans="1:9" ht="191.25" customHeight="1">
      <c r="A49" s="385">
        <v>1513030</v>
      </c>
      <c r="B49" s="385">
        <v>3030</v>
      </c>
      <c r="C49" s="353"/>
      <c r="D49" s="386" t="s">
        <v>127</v>
      </c>
      <c r="E49" s="593"/>
      <c r="F49" s="347">
        <f>F50+F51+F52</f>
        <v>487000</v>
      </c>
      <c r="G49" s="347"/>
      <c r="H49" s="347">
        <f>H50+H51+H52</f>
        <v>487000</v>
      </c>
      <c r="I49" s="246"/>
    </row>
    <row r="50" spans="1:9" ht="29.25" customHeight="1">
      <c r="A50" s="314">
        <v>1513034</v>
      </c>
      <c r="B50" s="314">
        <v>3034</v>
      </c>
      <c r="C50" s="353">
        <v>1070</v>
      </c>
      <c r="D50" s="355" t="s">
        <v>362</v>
      </c>
      <c r="E50" s="593"/>
      <c r="F50" s="347">
        <f>10000+30000</f>
        <v>40000</v>
      </c>
      <c r="G50" s="347"/>
      <c r="H50" s="347">
        <f t="shared" si="0"/>
        <v>40000</v>
      </c>
      <c r="I50" s="246"/>
    </row>
    <row r="51" spans="1:9" ht="45" customHeight="1">
      <c r="A51" s="314">
        <v>1513035</v>
      </c>
      <c r="B51" s="314">
        <v>3035</v>
      </c>
      <c r="C51" s="356" t="s">
        <v>267</v>
      </c>
      <c r="D51" s="357" t="s">
        <v>307</v>
      </c>
      <c r="E51" s="593"/>
      <c r="F51" s="358">
        <f>300000+120000+10000</f>
        <v>430000</v>
      </c>
      <c r="G51" s="347"/>
      <c r="H51" s="347">
        <f t="shared" si="0"/>
        <v>430000</v>
      </c>
      <c r="I51" s="246"/>
    </row>
    <row r="52" spans="1:9" ht="42.75" customHeight="1">
      <c r="A52" s="314">
        <v>1513037</v>
      </c>
      <c r="B52" s="314">
        <v>3037</v>
      </c>
      <c r="C52" s="356" t="s">
        <v>267</v>
      </c>
      <c r="D52" s="359" t="s">
        <v>308</v>
      </c>
      <c r="E52" s="594"/>
      <c r="F52" s="358">
        <f>10000+7000</f>
        <v>17000</v>
      </c>
      <c r="G52" s="347"/>
      <c r="H52" s="347">
        <f t="shared" si="0"/>
        <v>17000</v>
      </c>
      <c r="I52" s="246"/>
    </row>
    <row r="53" spans="1:9" ht="15.75" hidden="1">
      <c r="A53" s="294"/>
      <c r="B53" s="294"/>
      <c r="C53" s="298"/>
      <c r="D53" s="264"/>
      <c r="E53" s="260"/>
      <c r="F53" s="249"/>
      <c r="G53" s="249"/>
      <c r="H53" s="249">
        <f t="shared" si="0"/>
        <v>0</v>
      </c>
      <c r="I53" s="246"/>
    </row>
    <row r="54" spans="1:9" ht="38.25">
      <c r="A54" s="314">
        <v>2400000</v>
      </c>
      <c r="B54" s="314"/>
      <c r="C54" s="300"/>
      <c r="D54" s="435" t="s">
        <v>310</v>
      </c>
      <c r="E54" s="260"/>
      <c r="F54" s="321">
        <f>F55</f>
        <v>10000</v>
      </c>
      <c r="G54" s="321"/>
      <c r="H54" s="321">
        <f>H55</f>
        <v>10000</v>
      </c>
      <c r="I54" s="246"/>
    </row>
    <row r="55" spans="1:9" ht="38.25">
      <c r="A55" s="314">
        <v>2410000</v>
      </c>
      <c r="B55" s="314"/>
      <c r="C55" s="300"/>
      <c r="D55" s="435" t="s">
        <v>310</v>
      </c>
      <c r="E55" s="260"/>
      <c r="F55" s="321">
        <f>F56</f>
        <v>10000</v>
      </c>
      <c r="G55" s="321"/>
      <c r="H55" s="321">
        <f>H56</f>
        <v>10000</v>
      </c>
      <c r="I55" s="246"/>
    </row>
    <row r="56" spans="1:9" ht="25.5">
      <c r="A56" s="314">
        <v>2414200</v>
      </c>
      <c r="B56" s="314">
        <v>4200</v>
      </c>
      <c r="C56" s="315" t="s">
        <v>314</v>
      </c>
      <c r="D56" s="472" t="s">
        <v>350</v>
      </c>
      <c r="E56" s="348" t="s">
        <v>143</v>
      </c>
      <c r="F56" s="347">
        <v>10000</v>
      </c>
      <c r="G56" s="347"/>
      <c r="H56" s="347">
        <f>F56</f>
        <v>10000</v>
      </c>
      <c r="I56" s="246"/>
    </row>
    <row r="57" spans="1:9" ht="38.25">
      <c r="A57" s="314">
        <v>2900000</v>
      </c>
      <c r="B57" s="294"/>
      <c r="C57" s="298"/>
      <c r="D57" s="435" t="s">
        <v>556</v>
      </c>
      <c r="E57" s="260"/>
      <c r="F57" s="321">
        <f>F58</f>
        <v>1500</v>
      </c>
      <c r="G57" s="321"/>
      <c r="H57" s="321">
        <f>H58</f>
        <v>1500</v>
      </c>
      <c r="I57" s="246"/>
    </row>
    <row r="58" spans="1:9" ht="38.25">
      <c r="A58" s="314">
        <v>2910000</v>
      </c>
      <c r="B58" s="294"/>
      <c r="C58" s="298"/>
      <c r="D58" s="435" t="s">
        <v>556</v>
      </c>
      <c r="E58" s="260"/>
      <c r="F58" s="321">
        <f>F59</f>
        <v>1500</v>
      </c>
      <c r="G58" s="321"/>
      <c r="H58" s="321">
        <f>H59</f>
        <v>1500</v>
      </c>
      <c r="I58" s="246"/>
    </row>
    <row r="59" spans="1:9" ht="25.5">
      <c r="A59" s="314">
        <v>2918600</v>
      </c>
      <c r="B59" s="314">
        <v>8600</v>
      </c>
      <c r="C59" s="436" t="s">
        <v>180</v>
      </c>
      <c r="D59" s="365" t="s">
        <v>181</v>
      </c>
      <c r="E59" s="348" t="s">
        <v>408</v>
      </c>
      <c r="F59" s="347">
        <v>1500</v>
      </c>
      <c r="G59" s="249"/>
      <c r="H59" s="347">
        <f>F59</f>
        <v>1500</v>
      </c>
      <c r="I59" s="246"/>
    </row>
    <row r="60" spans="1:9" ht="32.25" customHeight="1">
      <c r="A60" s="314">
        <v>200000</v>
      </c>
      <c r="B60" s="294"/>
      <c r="C60" s="299"/>
      <c r="D60" s="316" t="s">
        <v>554</v>
      </c>
      <c r="E60" s="362"/>
      <c r="F60" s="321">
        <f>SUM(F63:F64)</f>
        <v>30000</v>
      </c>
      <c r="G60" s="321">
        <f>SUM(G63:G64)</f>
        <v>400000</v>
      </c>
      <c r="H60" s="321">
        <f>SUM(H63:H64)</f>
        <v>430000</v>
      </c>
      <c r="I60" s="246"/>
    </row>
    <row r="61" spans="1:9" ht="26.25" customHeight="1">
      <c r="A61" s="314">
        <v>2010000</v>
      </c>
      <c r="B61" s="294"/>
      <c r="C61" s="299"/>
      <c r="D61" s="316" t="s">
        <v>554</v>
      </c>
      <c r="E61" s="362"/>
      <c r="F61" s="321">
        <f>F60</f>
        <v>30000</v>
      </c>
      <c r="G61" s="321">
        <f>G63</f>
        <v>400000</v>
      </c>
      <c r="H61" s="321">
        <f>H60</f>
        <v>430000</v>
      </c>
      <c r="I61" s="246"/>
    </row>
    <row r="62" spans="1:9" ht="26.25" customHeight="1">
      <c r="A62" s="314">
        <v>2013110</v>
      </c>
      <c r="B62" s="385">
        <v>3110</v>
      </c>
      <c r="C62" s="299"/>
      <c r="D62" s="386" t="s">
        <v>22</v>
      </c>
      <c r="E62" s="362"/>
      <c r="F62" s="321">
        <f>F64</f>
        <v>30000</v>
      </c>
      <c r="G62" s="321">
        <f>G63</f>
        <v>400000</v>
      </c>
      <c r="H62" s="321">
        <f>H63+H64</f>
        <v>430000</v>
      </c>
      <c r="I62" s="246"/>
    </row>
    <row r="63" spans="1:9" ht="42" customHeight="1">
      <c r="A63" s="314">
        <v>2013112</v>
      </c>
      <c r="B63" s="314">
        <v>3112</v>
      </c>
      <c r="C63" s="363" t="s">
        <v>197</v>
      </c>
      <c r="D63" s="365" t="s">
        <v>336</v>
      </c>
      <c r="E63" s="364" t="s">
        <v>555</v>
      </c>
      <c r="F63" s="347"/>
      <c r="G63" s="358">
        <f>200000+200000</f>
        <v>400000</v>
      </c>
      <c r="H63" s="347">
        <f>F63+G63</f>
        <v>400000</v>
      </c>
      <c r="I63" s="246"/>
    </row>
    <row r="64" spans="1:9" ht="48.75" customHeight="1">
      <c r="A64" s="314">
        <v>2013112</v>
      </c>
      <c r="B64" s="314">
        <v>3112</v>
      </c>
      <c r="C64" s="356" t="s">
        <v>197</v>
      </c>
      <c r="D64" s="365" t="s">
        <v>336</v>
      </c>
      <c r="E64" s="367" t="s">
        <v>520</v>
      </c>
      <c r="F64" s="358">
        <v>30000</v>
      </c>
      <c r="G64" s="347"/>
      <c r="H64" s="347">
        <f>F64+G64</f>
        <v>30000</v>
      </c>
      <c r="I64" s="246"/>
    </row>
    <row r="65" spans="1:9" ht="55.5" customHeight="1" hidden="1">
      <c r="A65" s="294"/>
      <c r="B65" s="294"/>
      <c r="C65" s="303"/>
      <c r="D65" s="219" t="s">
        <v>556</v>
      </c>
      <c r="E65" s="265"/>
      <c r="F65" s="245">
        <f>F66</f>
        <v>0</v>
      </c>
      <c r="G65" s="245">
        <f>G66</f>
        <v>0</v>
      </c>
      <c r="H65" s="245">
        <f>H66</f>
        <v>0</v>
      </c>
      <c r="I65" s="246"/>
    </row>
    <row r="66" spans="1:18" ht="39.75" customHeight="1" hidden="1">
      <c r="A66" s="294"/>
      <c r="B66" s="294"/>
      <c r="C66" s="302" t="s">
        <v>498</v>
      </c>
      <c r="D66" s="200" t="s">
        <v>181</v>
      </c>
      <c r="E66" s="201" t="s">
        <v>557</v>
      </c>
      <c r="F66" s="251"/>
      <c r="G66" s="249"/>
      <c r="H66" s="249">
        <f>F66+G66</f>
        <v>0</v>
      </c>
      <c r="I66" s="246"/>
      <c r="K66" s="266"/>
      <c r="L66" s="266"/>
      <c r="M66" s="266"/>
      <c r="N66" s="266"/>
      <c r="O66" s="266"/>
      <c r="P66" s="266"/>
      <c r="Q66" s="266"/>
      <c r="R66" s="266"/>
    </row>
    <row r="67" spans="1:18" ht="39.75" customHeight="1" hidden="1">
      <c r="A67" s="314">
        <v>5300000</v>
      </c>
      <c r="B67" s="294"/>
      <c r="C67" s="437"/>
      <c r="D67" s="439" t="s">
        <v>425</v>
      </c>
      <c r="E67" s="269"/>
      <c r="F67" s="442">
        <f>F68</f>
        <v>0</v>
      </c>
      <c r="G67" s="321"/>
      <c r="H67" s="321">
        <f>H68</f>
        <v>0</v>
      </c>
      <c r="I67" s="246"/>
      <c r="K67" s="266"/>
      <c r="L67" s="266"/>
      <c r="M67" s="266"/>
      <c r="N67" s="266"/>
      <c r="O67" s="266"/>
      <c r="P67" s="266"/>
      <c r="Q67" s="266"/>
      <c r="R67" s="266"/>
    </row>
    <row r="68" spans="1:18" ht="39.75" customHeight="1" hidden="1">
      <c r="A68" s="314">
        <v>5310000</v>
      </c>
      <c r="B68" s="294"/>
      <c r="C68" s="437"/>
      <c r="D68" s="439" t="s">
        <v>425</v>
      </c>
      <c r="E68" s="269"/>
      <c r="F68" s="442">
        <f>F69</f>
        <v>0</v>
      </c>
      <c r="G68" s="321"/>
      <c r="H68" s="321">
        <f>H69</f>
        <v>0</v>
      </c>
      <c r="I68" s="246"/>
      <c r="K68" s="266"/>
      <c r="L68" s="266"/>
      <c r="M68" s="266"/>
      <c r="N68" s="266"/>
      <c r="O68" s="266"/>
      <c r="P68" s="266"/>
      <c r="Q68" s="266"/>
      <c r="R68" s="266"/>
    </row>
    <row r="69" spans="1:18" ht="39.75" customHeight="1" hidden="1">
      <c r="A69" s="314">
        <v>5318600</v>
      </c>
      <c r="B69" s="314">
        <v>8600</v>
      </c>
      <c r="C69" s="440" t="s">
        <v>180</v>
      </c>
      <c r="D69" s="438" t="s">
        <v>181</v>
      </c>
      <c r="E69" s="441" t="s">
        <v>559</v>
      </c>
      <c r="F69" s="442">
        <v>0</v>
      </c>
      <c r="G69" s="321"/>
      <c r="H69" s="321">
        <f>F69</f>
        <v>0</v>
      </c>
      <c r="I69" s="246"/>
      <c r="K69" s="266"/>
      <c r="L69" s="266"/>
      <c r="M69" s="266"/>
      <c r="N69" s="266"/>
      <c r="O69" s="266"/>
      <c r="P69" s="266"/>
      <c r="Q69" s="266"/>
      <c r="R69" s="266"/>
    </row>
    <row r="70" spans="1:18" ht="39.75" customHeight="1">
      <c r="A70" s="314">
        <v>4700000</v>
      </c>
      <c r="B70" s="314"/>
      <c r="C70" s="462"/>
      <c r="D70" s="439" t="s">
        <v>52</v>
      </c>
      <c r="E70" s="441"/>
      <c r="F70" s="442">
        <f>F71</f>
        <v>10000</v>
      </c>
      <c r="G70" s="321"/>
      <c r="H70" s="321">
        <f>H71</f>
        <v>10000</v>
      </c>
      <c r="I70" s="246"/>
      <c r="K70" s="266"/>
      <c r="L70" s="266"/>
      <c r="M70" s="266"/>
      <c r="N70" s="266"/>
      <c r="O70" s="266"/>
      <c r="P70" s="266"/>
      <c r="Q70" s="266"/>
      <c r="R70" s="266"/>
    </row>
    <row r="71" spans="1:18" ht="39.75" customHeight="1">
      <c r="A71" s="314">
        <v>4710000</v>
      </c>
      <c r="B71" s="314"/>
      <c r="C71" s="462"/>
      <c r="D71" s="439" t="s">
        <v>52</v>
      </c>
      <c r="E71" s="441"/>
      <c r="F71" s="442">
        <f>F72</f>
        <v>10000</v>
      </c>
      <c r="G71" s="321"/>
      <c r="H71" s="321">
        <f>H72</f>
        <v>10000</v>
      </c>
      <c r="I71" s="246"/>
      <c r="K71" s="266"/>
      <c r="L71" s="266"/>
      <c r="M71" s="266"/>
      <c r="N71" s="266"/>
      <c r="O71" s="266"/>
      <c r="P71" s="266"/>
      <c r="Q71" s="266"/>
      <c r="R71" s="266"/>
    </row>
    <row r="72" spans="1:18" ht="51.75" customHeight="1">
      <c r="A72" s="314">
        <v>4718100</v>
      </c>
      <c r="B72" s="314">
        <v>8100</v>
      </c>
      <c r="C72" s="462"/>
      <c r="D72" s="438" t="s">
        <v>53</v>
      </c>
      <c r="E72" s="441"/>
      <c r="F72" s="358">
        <f>F73</f>
        <v>10000</v>
      </c>
      <c r="G72" s="347"/>
      <c r="H72" s="347">
        <f>H73</f>
        <v>10000</v>
      </c>
      <c r="I72" s="246"/>
      <c r="K72" s="266"/>
      <c r="L72" s="266"/>
      <c r="M72" s="266"/>
      <c r="N72" s="266"/>
      <c r="O72" s="266"/>
      <c r="P72" s="266"/>
      <c r="Q72" s="266"/>
      <c r="R72" s="266"/>
    </row>
    <row r="73" spans="1:18" ht="51.75" customHeight="1">
      <c r="A73" s="314">
        <v>4718106</v>
      </c>
      <c r="B73" s="314">
        <v>8106</v>
      </c>
      <c r="C73" s="463" t="s">
        <v>108</v>
      </c>
      <c r="D73" s="438" t="s">
        <v>50</v>
      </c>
      <c r="E73" s="441" t="s">
        <v>54</v>
      </c>
      <c r="F73" s="358">
        <v>10000</v>
      </c>
      <c r="G73" s="347"/>
      <c r="H73" s="347">
        <v>10000</v>
      </c>
      <c r="I73" s="246"/>
      <c r="K73" s="266"/>
      <c r="L73" s="266"/>
      <c r="M73" s="266"/>
      <c r="N73" s="266"/>
      <c r="O73" s="266"/>
      <c r="P73" s="266"/>
      <c r="Q73" s="266"/>
      <c r="R73" s="266"/>
    </row>
    <row r="74" spans="1:18" ht="30" customHeight="1">
      <c r="A74" s="314">
        <v>7500000</v>
      </c>
      <c r="B74" s="314"/>
      <c r="C74" s="267"/>
      <c r="D74" s="368" t="s">
        <v>558</v>
      </c>
      <c r="E74" s="369"/>
      <c r="F74" s="318">
        <f>F95+F96+F97+F98+F101+F99+F102</f>
        <v>440500</v>
      </c>
      <c r="G74" s="501">
        <f>G75</f>
        <v>497962.2</v>
      </c>
      <c r="H74" s="501">
        <f>H77+H76+H95+H96+H100+H97+H98+H101+H99+H102</f>
        <v>938462.2</v>
      </c>
      <c r="I74" s="246"/>
      <c r="K74" s="266"/>
      <c r="L74" s="267"/>
      <c r="M74" s="268"/>
      <c r="N74" s="266"/>
      <c r="O74" s="266"/>
      <c r="P74" s="266"/>
      <c r="Q74" s="266"/>
      <c r="R74" s="266"/>
    </row>
    <row r="75" spans="1:18" ht="29.25" customHeight="1">
      <c r="A75" s="314">
        <v>7510000</v>
      </c>
      <c r="B75" s="314"/>
      <c r="C75" s="267"/>
      <c r="D75" s="370" t="s">
        <v>558</v>
      </c>
      <c r="E75" s="371"/>
      <c r="F75" s="321">
        <f>F95+F96+F97+F98+F101+F99+F102</f>
        <v>440500</v>
      </c>
      <c r="G75" s="500">
        <f>G76+G100</f>
        <v>497962.2</v>
      </c>
      <c r="H75" s="500">
        <f>H74</f>
        <v>938462.2</v>
      </c>
      <c r="I75" s="246"/>
      <c r="K75" s="266"/>
      <c r="L75" s="267"/>
      <c r="M75" s="268"/>
      <c r="N75" s="266"/>
      <c r="O75" s="266"/>
      <c r="P75" s="266"/>
      <c r="Q75" s="266"/>
      <c r="R75" s="266"/>
    </row>
    <row r="76" spans="1:9" ht="37.5" customHeight="1">
      <c r="A76" s="314">
        <v>7518800</v>
      </c>
      <c r="B76" s="314">
        <v>8800</v>
      </c>
      <c r="C76" s="315" t="s">
        <v>317</v>
      </c>
      <c r="D76" s="366" t="s">
        <v>319</v>
      </c>
      <c r="E76" s="366" t="s">
        <v>521</v>
      </c>
      <c r="F76" s="358"/>
      <c r="G76" s="347">
        <v>480000</v>
      </c>
      <c r="H76" s="347">
        <f>F76+G76</f>
        <v>480000</v>
      </c>
      <c r="I76" s="246"/>
    </row>
    <row r="77" spans="1:9" ht="63" customHeight="1" hidden="1">
      <c r="A77" s="294"/>
      <c r="B77" s="294"/>
      <c r="C77" s="304">
        <v>250404</v>
      </c>
      <c r="D77" s="200" t="s">
        <v>181</v>
      </c>
      <c r="E77" s="201" t="s">
        <v>559</v>
      </c>
      <c r="F77" s="249"/>
      <c r="G77" s="249"/>
      <c r="H77" s="249">
        <f>F77+G77</f>
        <v>0</v>
      </c>
      <c r="I77" s="246"/>
    </row>
    <row r="78" spans="1:9" s="271" customFormat="1" ht="56.25" customHeight="1" hidden="1">
      <c r="A78" s="309"/>
      <c r="B78" s="309"/>
      <c r="C78" s="305">
        <v>67</v>
      </c>
      <c r="D78" s="218" t="s">
        <v>561</v>
      </c>
      <c r="E78" s="269"/>
      <c r="F78" s="245">
        <v>88700</v>
      </c>
      <c r="G78" s="245"/>
      <c r="H78" s="245">
        <v>88700</v>
      </c>
      <c r="I78" s="270"/>
    </row>
    <row r="79" spans="1:9" s="273" customFormat="1" ht="49.5" customHeight="1" hidden="1">
      <c r="A79" s="310"/>
      <c r="B79" s="310"/>
      <c r="C79" s="304">
        <v>250404</v>
      </c>
      <c r="D79" s="200" t="s">
        <v>181</v>
      </c>
      <c r="E79" s="201" t="s">
        <v>562</v>
      </c>
      <c r="F79" s="249"/>
      <c r="G79" s="249"/>
      <c r="H79" s="249"/>
      <c r="I79" s="272"/>
    </row>
    <row r="80" spans="1:9" ht="63" customHeight="1" hidden="1">
      <c r="A80" s="294"/>
      <c r="B80" s="294"/>
      <c r="C80" s="299">
        <v>73</v>
      </c>
      <c r="D80" s="243" t="s">
        <v>576</v>
      </c>
      <c r="E80" s="183"/>
      <c r="F80" s="245">
        <f>F81</f>
        <v>0</v>
      </c>
      <c r="G80" s="245">
        <f>G81</f>
        <v>0</v>
      </c>
      <c r="H80" s="245">
        <f>H81</f>
        <v>0</v>
      </c>
      <c r="I80" s="246"/>
    </row>
    <row r="81" spans="1:9" ht="63.75" customHeight="1" hidden="1">
      <c r="A81" s="294"/>
      <c r="B81" s="294"/>
      <c r="C81" s="304">
        <v>180410</v>
      </c>
      <c r="D81" s="255" t="s">
        <v>577</v>
      </c>
      <c r="E81" s="201" t="s">
        <v>578</v>
      </c>
      <c r="F81" s="249"/>
      <c r="G81" s="249"/>
      <c r="H81" s="249">
        <f>F81</f>
        <v>0</v>
      </c>
      <c r="I81" s="246"/>
    </row>
    <row r="82" spans="1:9" ht="64.5" customHeight="1" hidden="1">
      <c r="A82" s="294"/>
      <c r="B82" s="294"/>
      <c r="C82" s="299"/>
      <c r="D82" s="274" t="s">
        <v>315</v>
      </c>
      <c r="E82" s="223"/>
      <c r="F82" s="245">
        <f>SUM(F83:F94)</f>
        <v>0</v>
      </c>
      <c r="G82" s="245">
        <f>SUM(G83:G94)</f>
        <v>0</v>
      </c>
      <c r="H82" s="245">
        <f>SUM(H83:H94)</f>
        <v>0</v>
      </c>
      <c r="I82" s="246"/>
    </row>
    <row r="83" spans="1:9" s="278" customFormat="1" ht="105" customHeight="1" hidden="1">
      <c r="A83" s="311"/>
      <c r="B83" s="311"/>
      <c r="C83" s="306">
        <v>250344</v>
      </c>
      <c r="D83" s="275" t="s">
        <v>363</v>
      </c>
      <c r="E83" s="276" t="s">
        <v>579</v>
      </c>
      <c r="F83" s="251"/>
      <c r="G83" s="251"/>
      <c r="H83" s="251">
        <f aca="true" t="shared" si="1" ref="H83:H92">F83+G83</f>
        <v>0</v>
      </c>
      <c r="I83" s="277"/>
    </row>
    <row r="84" spans="1:9" ht="82.5" customHeight="1" hidden="1">
      <c r="A84" s="294"/>
      <c r="B84" s="294"/>
      <c r="C84" s="307">
        <v>250344</v>
      </c>
      <c r="D84" s="279" t="s">
        <v>363</v>
      </c>
      <c r="E84" s="248" t="s">
        <v>580</v>
      </c>
      <c r="F84" s="249"/>
      <c r="G84" s="249"/>
      <c r="H84" s="249">
        <f t="shared" si="1"/>
        <v>0</v>
      </c>
      <c r="I84" s="246"/>
    </row>
    <row r="85" spans="1:9" ht="102.75" customHeight="1" hidden="1">
      <c r="A85" s="294"/>
      <c r="B85" s="294"/>
      <c r="C85" s="307">
        <v>250344</v>
      </c>
      <c r="D85" s="279" t="s">
        <v>363</v>
      </c>
      <c r="E85" s="254" t="s">
        <v>581</v>
      </c>
      <c r="F85" s="280"/>
      <c r="G85" s="280"/>
      <c r="H85" s="249">
        <f t="shared" si="1"/>
        <v>0</v>
      </c>
      <c r="I85" s="246"/>
    </row>
    <row r="86" spans="1:9" ht="75" hidden="1">
      <c r="A86" s="294"/>
      <c r="B86" s="294"/>
      <c r="C86" s="307">
        <v>250344</v>
      </c>
      <c r="D86" s="250" t="s">
        <v>363</v>
      </c>
      <c r="E86" s="244" t="s">
        <v>582</v>
      </c>
      <c r="F86" s="249"/>
      <c r="G86" s="249"/>
      <c r="H86" s="249">
        <f t="shared" si="1"/>
        <v>0</v>
      </c>
      <c r="I86" s="246"/>
    </row>
    <row r="87" spans="1:9" ht="75" hidden="1">
      <c r="A87" s="294"/>
      <c r="B87" s="294"/>
      <c r="C87" s="307">
        <v>250344</v>
      </c>
      <c r="D87" s="250" t="s">
        <v>363</v>
      </c>
      <c r="E87" s="256" t="s">
        <v>0</v>
      </c>
      <c r="F87" s="249"/>
      <c r="G87" s="249"/>
      <c r="H87" s="249">
        <f t="shared" si="1"/>
        <v>0</v>
      </c>
      <c r="I87" s="246"/>
    </row>
    <row r="88" spans="1:9" s="278" customFormat="1" ht="78.75" hidden="1">
      <c r="A88" s="311"/>
      <c r="B88" s="311"/>
      <c r="C88" s="306">
        <v>250344</v>
      </c>
      <c r="D88" s="275" t="s">
        <v>363</v>
      </c>
      <c r="E88" s="258" t="s">
        <v>1</v>
      </c>
      <c r="F88" s="251"/>
      <c r="G88" s="251"/>
      <c r="H88" s="251">
        <f t="shared" si="1"/>
        <v>0</v>
      </c>
      <c r="I88" s="277"/>
    </row>
    <row r="89" spans="1:9" s="278" customFormat="1" ht="78.75" hidden="1">
      <c r="A89" s="311"/>
      <c r="B89" s="311"/>
      <c r="C89" s="306">
        <v>250344</v>
      </c>
      <c r="D89" s="275" t="s">
        <v>363</v>
      </c>
      <c r="E89" s="258" t="s">
        <v>512</v>
      </c>
      <c r="F89" s="251"/>
      <c r="G89" s="251"/>
      <c r="H89" s="251">
        <f t="shared" si="1"/>
        <v>0</v>
      </c>
      <c r="I89" s="277"/>
    </row>
    <row r="90" spans="1:9" ht="94.5" hidden="1">
      <c r="A90" s="294"/>
      <c r="B90" s="294"/>
      <c r="C90" s="297">
        <v>250323</v>
      </c>
      <c r="D90" s="281" t="s">
        <v>318</v>
      </c>
      <c r="E90" s="256" t="s">
        <v>2</v>
      </c>
      <c r="F90" s="249"/>
      <c r="G90" s="249"/>
      <c r="H90" s="249">
        <f t="shared" si="1"/>
        <v>0</v>
      </c>
      <c r="I90" s="246"/>
    </row>
    <row r="91" spans="1:9" ht="15.75" hidden="1">
      <c r="A91" s="294"/>
      <c r="B91" s="294"/>
      <c r="C91" s="307"/>
      <c r="D91" s="250"/>
      <c r="E91" s="256"/>
      <c r="F91" s="249"/>
      <c r="G91" s="249"/>
      <c r="H91" s="249">
        <f t="shared" si="1"/>
        <v>0</v>
      </c>
      <c r="I91" s="246"/>
    </row>
    <row r="92" spans="1:9" ht="30" hidden="1">
      <c r="A92" s="294"/>
      <c r="B92" s="294"/>
      <c r="C92" s="297">
        <v>250380</v>
      </c>
      <c r="D92" s="279" t="s">
        <v>319</v>
      </c>
      <c r="E92" s="250" t="s">
        <v>3</v>
      </c>
      <c r="F92" s="249"/>
      <c r="G92" s="249"/>
      <c r="H92" s="249">
        <f t="shared" si="1"/>
        <v>0</v>
      </c>
      <c r="I92" s="246"/>
    </row>
    <row r="93" spans="1:9" ht="78.75" hidden="1">
      <c r="A93" s="294"/>
      <c r="B93" s="294"/>
      <c r="C93" s="297">
        <v>250344</v>
      </c>
      <c r="D93" s="275" t="s">
        <v>363</v>
      </c>
      <c r="E93" s="279" t="s">
        <v>4</v>
      </c>
      <c r="F93" s="249"/>
      <c r="G93" s="249"/>
      <c r="H93" s="249"/>
      <c r="I93" s="246"/>
    </row>
    <row r="94" spans="1:9" ht="78.75" hidden="1">
      <c r="A94" s="294"/>
      <c r="B94" s="294"/>
      <c r="C94" s="297">
        <v>250344</v>
      </c>
      <c r="D94" s="275" t="s">
        <v>363</v>
      </c>
      <c r="E94" s="279" t="s">
        <v>5</v>
      </c>
      <c r="F94" s="249"/>
      <c r="G94" s="249"/>
      <c r="H94" s="249"/>
      <c r="I94" s="246"/>
    </row>
    <row r="95" spans="1:9" ht="51">
      <c r="A95" s="326">
        <v>7518370</v>
      </c>
      <c r="B95" s="326">
        <v>8370</v>
      </c>
      <c r="C95" s="431" t="s">
        <v>317</v>
      </c>
      <c r="D95" s="443" t="s">
        <v>363</v>
      </c>
      <c r="E95" s="444" t="s">
        <v>1</v>
      </c>
      <c r="F95" s="347">
        <v>30000</v>
      </c>
      <c r="G95" s="347"/>
      <c r="H95" s="347">
        <f>F95</f>
        <v>30000</v>
      </c>
      <c r="I95" s="246"/>
    </row>
    <row r="96" spans="1:9" ht="51">
      <c r="A96" s="326">
        <v>7518370</v>
      </c>
      <c r="B96" s="326">
        <v>8370</v>
      </c>
      <c r="C96" s="431" t="s">
        <v>317</v>
      </c>
      <c r="D96" s="443" t="s">
        <v>363</v>
      </c>
      <c r="E96" s="444" t="s">
        <v>580</v>
      </c>
      <c r="F96" s="347">
        <f>246000+46000+29900+23000</f>
        <v>344900</v>
      </c>
      <c r="G96" s="347"/>
      <c r="H96" s="347">
        <f>246000+46000+29900+23000</f>
        <v>344900</v>
      </c>
      <c r="I96" s="246"/>
    </row>
    <row r="97" spans="1:9" ht="51">
      <c r="A97" s="326">
        <v>7518370</v>
      </c>
      <c r="B97" s="326">
        <v>8370</v>
      </c>
      <c r="C97" s="431" t="s">
        <v>317</v>
      </c>
      <c r="D97" s="443" t="s">
        <v>363</v>
      </c>
      <c r="E97" s="444" t="s">
        <v>4</v>
      </c>
      <c r="F97" s="347">
        <f>30000+20000</f>
        <v>50000</v>
      </c>
      <c r="G97" s="347"/>
      <c r="H97" s="347">
        <f>F97</f>
        <v>50000</v>
      </c>
      <c r="I97" s="246"/>
    </row>
    <row r="98" spans="1:9" ht="51">
      <c r="A98" s="326">
        <v>7518370</v>
      </c>
      <c r="B98" s="326">
        <v>8370</v>
      </c>
      <c r="C98" s="431" t="s">
        <v>317</v>
      </c>
      <c r="D98" s="443" t="s">
        <v>363</v>
      </c>
      <c r="E98" s="444" t="s">
        <v>51</v>
      </c>
      <c r="F98" s="347">
        <v>8000</v>
      </c>
      <c r="G98" s="347"/>
      <c r="H98" s="347">
        <f>F98</f>
        <v>8000</v>
      </c>
      <c r="I98" s="246"/>
    </row>
    <row r="99" spans="1:9" ht="51" hidden="1">
      <c r="A99" s="326">
        <v>7518370</v>
      </c>
      <c r="B99" s="326">
        <v>8370</v>
      </c>
      <c r="C99" s="431" t="s">
        <v>317</v>
      </c>
      <c r="D99" s="443" t="s">
        <v>363</v>
      </c>
      <c r="E99" s="444" t="s">
        <v>369</v>
      </c>
      <c r="F99" s="347">
        <v>0</v>
      </c>
      <c r="G99" s="347"/>
      <c r="H99" s="347">
        <v>0</v>
      </c>
      <c r="I99" s="246"/>
    </row>
    <row r="100" spans="1:9" ht="51">
      <c r="A100" s="326">
        <v>7518800</v>
      </c>
      <c r="B100" s="326">
        <v>8800</v>
      </c>
      <c r="C100" s="431" t="s">
        <v>317</v>
      </c>
      <c r="D100" s="446" t="s">
        <v>319</v>
      </c>
      <c r="E100" s="444" t="s">
        <v>208</v>
      </c>
      <c r="F100" s="347"/>
      <c r="G100" s="498">
        <v>17962.2</v>
      </c>
      <c r="H100" s="498">
        <v>17962.2</v>
      </c>
      <c r="I100" s="246"/>
    </row>
    <row r="101" spans="1:9" ht="43.5" customHeight="1">
      <c r="A101" s="326">
        <v>7518800</v>
      </c>
      <c r="B101" s="326">
        <v>8800</v>
      </c>
      <c r="C101" s="431" t="s">
        <v>317</v>
      </c>
      <c r="D101" s="446" t="s">
        <v>319</v>
      </c>
      <c r="E101" s="444" t="s">
        <v>361</v>
      </c>
      <c r="F101" s="347">
        <v>7600</v>
      </c>
      <c r="G101" s="347"/>
      <c r="H101" s="347">
        <v>7600</v>
      </c>
      <c r="I101" s="246"/>
    </row>
    <row r="102" spans="1:9" ht="123" customHeight="1" hidden="1">
      <c r="A102" s="326">
        <v>7518800</v>
      </c>
      <c r="B102" s="326">
        <v>8800</v>
      </c>
      <c r="C102" s="431" t="s">
        <v>317</v>
      </c>
      <c r="D102" s="446" t="s">
        <v>319</v>
      </c>
      <c r="E102" s="346" t="s">
        <v>370</v>
      </c>
      <c r="F102" s="347">
        <v>0</v>
      </c>
      <c r="G102" s="347"/>
      <c r="H102" s="347">
        <v>0</v>
      </c>
      <c r="I102" s="246"/>
    </row>
    <row r="103" spans="1:9" s="282" customFormat="1" ht="15.75">
      <c r="A103" s="312"/>
      <c r="B103" s="312"/>
      <c r="C103" s="308"/>
      <c r="D103" s="372" t="s">
        <v>68</v>
      </c>
      <c r="E103" s="373"/>
      <c r="F103" s="374">
        <f>F10+F13+F39+F60+F20+F82+F65+F74+F80+F57+F35+F67+F70+F54</f>
        <v>3135800</v>
      </c>
      <c r="G103" s="499">
        <f>G10+G13+G30+G39+G60+G20+G82+G65+G74+G80</f>
        <v>897962.2</v>
      </c>
      <c r="H103" s="499">
        <f>H10+H13+H39+H60+H20+H82+H65+H74+H80+H57+H67+H35+H70+H54</f>
        <v>4033762.2</v>
      </c>
      <c r="I103" s="246"/>
    </row>
    <row r="104" spans="3:9" ht="6" customHeight="1" hidden="1">
      <c r="C104" s="283"/>
      <c r="D104" s="283"/>
      <c r="E104" s="283"/>
      <c r="F104" s="284"/>
      <c r="G104" s="284"/>
      <c r="H104" s="284"/>
      <c r="I104" s="5" t="b">
        <f>G104+F104=H104</f>
        <v>1</v>
      </c>
    </row>
    <row r="105" spans="3:15" ht="20.25">
      <c r="C105" s="601" t="s">
        <v>248</v>
      </c>
      <c r="D105" s="601"/>
      <c r="E105" s="377"/>
      <c r="F105" s="378"/>
      <c r="G105" s="375" t="s">
        <v>249</v>
      </c>
      <c r="H105" s="378"/>
      <c r="I105" s="152"/>
      <c r="K105" s="285"/>
      <c r="N105" s="196"/>
      <c r="O105" s="196"/>
    </row>
    <row r="106" spans="3:8" ht="15">
      <c r="C106" s="286"/>
      <c r="D106" s="286"/>
      <c r="E106" s="286"/>
      <c r="F106" s="286"/>
      <c r="G106" s="286"/>
      <c r="H106" s="286"/>
    </row>
    <row r="107" spans="3:8" ht="18">
      <c r="C107" s="287"/>
      <c r="D107" s="287"/>
      <c r="E107" s="287"/>
      <c r="F107" s="287"/>
      <c r="G107" s="287"/>
      <c r="H107" s="287"/>
    </row>
    <row r="108" spans="3:8" ht="18">
      <c r="C108" s="287"/>
      <c r="D108" s="287"/>
      <c r="E108" s="287"/>
      <c r="F108" s="287"/>
      <c r="G108" s="287"/>
      <c r="H108" s="287"/>
    </row>
    <row r="109" spans="3:8" ht="18">
      <c r="C109" s="287"/>
      <c r="D109" s="287"/>
      <c r="E109" s="287"/>
      <c r="F109" s="287"/>
      <c r="G109" s="287"/>
      <c r="H109" s="287"/>
    </row>
    <row r="110" spans="3:8" ht="18">
      <c r="C110" s="287"/>
      <c r="D110" s="287"/>
      <c r="E110" s="287"/>
      <c r="F110" s="287"/>
      <c r="G110" s="287"/>
      <c r="H110" s="287"/>
    </row>
    <row r="111" spans="3:8" ht="18">
      <c r="C111" s="287"/>
      <c r="D111" s="287"/>
      <c r="E111" s="287"/>
      <c r="F111" s="287"/>
      <c r="G111" s="287"/>
      <c r="H111" s="287"/>
    </row>
    <row r="112" spans="3:8" ht="18">
      <c r="C112" s="287"/>
      <c r="D112" s="287" t="s">
        <v>17</v>
      </c>
      <c r="E112" s="287"/>
      <c r="F112" s="287"/>
      <c r="G112" s="287"/>
      <c r="H112" s="287"/>
    </row>
    <row r="113" spans="3:8" ht="18">
      <c r="C113" s="287"/>
      <c r="D113" s="287"/>
      <c r="E113" s="287"/>
      <c r="F113" s="287"/>
      <c r="G113" s="287"/>
      <c r="H113" s="287"/>
    </row>
    <row r="114" spans="3:8" ht="37.5" customHeight="1">
      <c r="C114" s="287"/>
      <c r="D114" s="287"/>
      <c r="E114" s="287"/>
      <c r="F114" s="287"/>
      <c r="G114" s="287"/>
      <c r="H114" s="287"/>
    </row>
    <row r="115" spans="3:8" ht="18">
      <c r="C115" s="287"/>
      <c r="D115" s="287"/>
      <c r="E115" s="287"/>
      <c r="F115" s="287"/>
      <c r="G115" s="287"/>
      <c r="H115" s="287"/>
    </row>
    <row r="116" spans="3:8" ht="18">
      <c r="C116" s="287"/>
      <c r="D116" s="287"/>
      <c r="E116" s="287"/>
      <c r="F116" s="287"/>
      <c r="G116" s="287"/>
      <c r="H116" s="287"/>
    </row>
    <row r="117" spans="3:8" ht="18">
      <c r="C117" s="287"/>
      <c r="D117" s="287"/>
      <c r="E117" s="287"/>
      <c r="F117" s="287"/>
      <c r="G117" s="287"/>
      <c r="H117" s="287"/>
    </row>
    <row r="118" spans="3:8" ht="18">
      <c r="C118" s="287"/>
      <c r="D118" s="287"/>
      <c r="E118" s="287"/>
      <c r="F118" s="287"/>
      <c r="G118" s="287"/>
      <c r="H118" s="287"/>
    </row>
    <row r="119" spans="3:8" ht="18">
      <c r="C119" s="287"/>
      <c r="D119" s="287"/>
      <c r="E119" s="287"/>
      <c r="F119" s="287"/>
      <c r="G119" s="287"/>
      <c r="H119" s="287"/>
    </row>
    <row r="120" spans="3:8" ht="18">
      <c r="C120" s="287"/>
      <c r="D120" s="287"/>
      <c r="E120" s="287"/>
      <c r="F120" s="287"/>
      <c r="G120" s="287"/>
      <c r="H120" s="287"/>
    </row>
    <row r="121" spans="3:8" ht="18">
      <c r="C121" s="287"/>
      <c r="D121" s="287"/>
      <c r="E121" s="287"/>
      <c r="F121" s="287"/>
      <c r="G121" s="287"/>
      <c r="H121" s="287"/>
    </row>
    <row r="122" spans="3:8" ht="18">
      <c r="C122" s="287"/>
      <c r="D122" s="287"/>
      <c r="E122" s="287"/>
      <c r="F122" s="287"/>
      <c r="G122" s="287"/>
      <c r="H122" s="287"/>
    </row>
    <row r="123" spans="3:8" ht="18">
      <c r="C123" s="287"/>
      <c r="D123" s="287"/>
      <c r="E123" s="287"/>
      <c r="F123" s="287"/>
      <c r="G123" s="287"/>
      <c r="H123" s="287"/>
    </row>
    <row r="124" spans="3:8" ht="18">
      <c r="C124" s="287"/>
      <c r="D124" s="287"/>
      <c r="E124" s="287"/>
      <c r="F124" s="287"/>
      <c r="G124" s="287"/>
      <c r="H124" s="287"/>
    </row>
    <row r="125" spans="3:8" ht="18">
      <c r="C125" s="287"/>
      <c r="D125" s="287"/>
      <c r="E125" s="287"/>
      <c r="F125" s="287"/>
      <c r="G125" s="287"/>
      <c r="H125" s="287"/>
    </row>
    <row r="126" spans="3:8" ht="18">
      <c r="C126" s="287"/>
      <c r="D126" s="287"/>
      <c r="E126" s="287"/>
      <c r="F126" s="287"/>
      <c r="G126" s="287"/>
      <c r="H126" s="287"/>
    </row>
    <row r="127" spans="3:8" ht="18">
      <c r="C127" s="287"/>
      <c r="D127" s="287"/>
      <c r="E127" s="287"/>
      <c r="F127" s="287"/>
      <c r="G127" s="287"/>
      <c r="H127" s="287"/>
    </row>
    <row r="128" spans="3:8" ht="18">
      <c r="C128" s="287"/>
      <c r="D128" s="287"/>
      <c r="E128" s="287"/>
      <c r="F128" s="287"/>
      <c r="G128" s="287"/>
      <c r="H128" s="287"/>
    </row>
    <row r="129" spans="3:8" ht="18">
      <c r="C129" s="287"/>
      <c r="D129" s="287"/>
      <c r="E129" s="287"/>
      <c r="F129" s="287"/>
      <c r="G129" s="287"/>
      <c r="H129" s="287"/>
    </row>
    <row r="130" spans="3:8" ht="18">
      <c r="C130" s="287"/>
      <c r="D130" s="287"/>
      <c r="E130" s="287"/>
      <c r="F130" s="287"/>
      <c r="G130" s="287"/>
      <c r="H130" s="287"/>
    </row>
    <row r="131" spans="3:8" ht="18">
      <c r="C131" s="287"/>
      <c r="D131" s="287"/>
      <c r="E131" s="287"/>
      <c r="F131" s="287"/>
      <c r="G131" s="287"/>
      <c r="H131" s="287"/>
    </row>
    <row r="132" spans="3:8" ht="18">
      <c r="C132" s="287"/>
      <c r="D132" s="287"/>
      <c r="E132" s="287"/>
      <c r="F132" s="287"/>
      <c r="G132" s="287"/>
      <c r="H132" s="287"/>
    </row>
    <row r="133" spans="3:8" ht="18">
      <c r="C133" s="287"/>
      <c r="D133" s="287"/>
      <c r="E133" s="287"/>
      <c r="F133" s="287"/>
      <c r="G133" s="287"/>
      <c r="H133" s="287"/>
    </row>
    <row r="134" spans="3:8" ht="18">
      <c r="C134" s="287"/>
      <c r="D134" s="287"/>
      <c r="E134" s="287"/>
      <c r="F134" s="287"/>
      <c r="G134" s="287"/>
      <c r="H134" s="287"/>
    </row>
    <row r="135" spans="3:8" ht="18">
      <c r="C135" s="287"/>
      <c r="D135" s="287"/>
      <c r="E135" s="287"/>
      <c r="F135" s="287"/>
      <c r="G135" s="287"/>
      <c r="H135" s="287"/>
    </row>
    <row r="136" spans="3:8" ht="18">
      <c r="C136" s="287"/>
      <c r="D136" s="287"/>
      <c r="E136" s="287"/>
      <c r="F136" s="287"/>
      <c r="G136" s="287"/>
      <c r="H136" s="287"/>
    </row>
    <row r="137" spans="3:8" ht="18">
      <c r="C137" s="287"/>
      <c r="D137" s="287"/>
      <c r="E137" s="287"/>
      <c r="F137" s="287"/>
      <c r="G137" s="287"/>
      <c r="H137" s="287"/>
    </row>
    <row r="138" spans="3:8" ht="18">
      <c r="C138" s="287"/>
      <c r="D138" s="287"/>
      <c r="E138" s="287"/>
      <c r="F138" s="287"/>
      <c r="G138" s="287"/>
      <c r="H138" s="287"/>
    </row>
    <row r="139" spans="3:8" ht="82.5" customHeight="1">
      <c r="C139" s="287"/>
      <c r="D139" s="287"/>
      <c r="E139" s="287"/>
      <c r="F139" s="287"/>
      <c r="G139" s="287"/>
      <c r="H139" s="287"/>
    </row>
    <row r="140" spans="3:8" ht="18">
      <c r="C140" s="287"/>
      <c r="D140" s="287"/>
      <c r="E140" s="287"/>
      <c r="F140" s="287"/>
      <c r="G140" s="287"/>
      <c r="H140" s="287"/>
    </row>
    <row r="141" spans="3:8" ht="18">
      <c r="C141" s="288"/>
      <c r="D141" s="288"/>
      <c r="E141" s="288"/>
      <c r="F141" s="287"/>
      <c r="G141" s="287"/>
      <c r="H141" s="287"/>
    </row>
    <row r="142" spans="3:8" ht="18">
      <c r="C142" s="288"/>
      <c r="D142" s="288"/>
      <c r="E142" s="288"/>
      <c r="F142" s="287"/>
      <c r="G142" s="287"/>
      <c r="H142" s="287"/>
    </row>
    <row r="143" spans="3:8" ht="18">
      <c r="C143" s="288"/>
      <c r="D143" s="288"/>
      <c r="E143" s="288"/>
      <c r="F143" s="287"/>
      <c r="G143" s="287"/>
      <c r="H143" s="287"/>
    </row>
    <row r="144" spans="3:8" ht="18">
      <c r="C144" s="288"/>
      <c r="D144" s="288"/>
      <c r="E144" s="288"/>
      <c r="F144" s="287"/>
      <c r="G144" s="287"/>
      <c r="H144" s="287"/>
    </row>
    <row r="145" spans="3:8" ht="18">
      <c r="C145" s="288"/>
      <c r="D145" s="288"/>
      <c r="E145" s="288"/>
      <c r="F145" s="287"/>
      <c r="G145" s="287"/>
      <c r="H145" s="287"/>
    </row>
    <row r="146" spans="3:8" ht="18">
      <c r="C146" s="288"/>
      <c r="D146" s="288"/>
      <c r="E146" s="288"/>
      <c r="F146" s="287"/>
      <c r="G146" s="287"/>
      <c r="H146" s="287"/>
    </row>
    <row r="147" spans="3:8" ht="18">
      <c r="C147" s="288"/>
      <c r="D147" s="288"/>
      <c r="E147" s="288"/>
      <c r="F147" s="287"/>
      <c r="G147" s="287"/>
      <c r="H147" s="287"/>
    </row>
    <row r="148" spans="3:8" ht="18">
      <c r="C148" s="288"/>
      <c r="D148" s="288"/>
      <c r="E148" s="288"/>
      <c r="F148" s="287"/>
      <c r="G148" s="287"/>
      <c r="H148" s="287"/>
    </row>
    <row r="149" spans="3:8" ht="18">
      <c r="C149" s="288"/>
      <c r="D149" s="288"/>
      <c r="E149" s="288"/>
      <c r="F149" s="287"/>
      <c r="G149" s="287"/>
      <c r="H149" s="287"/>
    </row>
    <row r="150" spans="3:8" ht="18">
      <c r="C150" s="288"/>
      <c r="D150" s="288"/>
      <c r="E150" s="288"/>
      <c r="F150" s="287"/>
      <c r="G150" s="287"/>
      <c r="H150" s="287"/>
    </row>
    <row r="151" spans="3:8" ht="18">
      <c r="C151" s="288"/>
      <c r="D151" s="288"/>
      <c r="E151" s="288"/>
      <c r="F151" s="287"/>
      <c r="G151" s="287"/>
      <c r="H151" s="287"/>
    </row>
    <row r="152" spans="3:8" ht="18">
      <c r="C152" s="288"/>
      <c r="D152" s="288"/>
      <c r="E152" s="288"/>
      <c r="F152" s="287"/>
      <c r="G152" s="287"/>
      <c r="H152" s="287"/>
    </row>
    <row r="153" spans="3:8" ht="18">
      <c r="C153" s="288"/>
      <c r="D153" s="288"/>
      <c r="E153" s="288"/>
      <c r="F153" s="287"/>
      <c r="G153" s="287"/>
      <c r="H153" s="287"/>
    </row>
    <row r="154" spans="3:8" ht="18">
      <c r="C154" s="288"/>
      <c r="D154" s="288"/>
      <c r="E154" s="288"/>
      <c r="F154" s="287"/>
      <c r="G154" s="287"/>
      <c r="H154" s="287"/>
    </row>
    <row r="155" spans="3:8" ht="18">
      <c r="C155" s="288"/>
      <c r="D155" s="288"/>
      <c r="E155" s="288"/>
      <c r="F155" s="287"/>
      <c r="G155" s="287"/>
      <c r="H155" s="287"/>
    </row>
    <row r="156" spans="3:8" ht="18">
      <c r="C156" s="288"/>
      <c r="D156" s="288"/>
      <c r="E156" s="288"/>
      <c r="F156" s="287"/>
      <c r="G156" s="287"/>
      <c r="H156" s="287"/>
    </row>
    <row r="157" spans="3:8" ht="18">
      <c r="C157" s="288"/>
      <c r="D157" s="288"/>
      <c r="E157" s="288"/>
      <c r="F157" s="287"/>
      <c r="G157" s="287"/>
      <c r="H157" s="287"/>
    </row>
    <row r="158" spans="3:8" ht="18">
      <c r="C158" s="288"/>
      <c r="D158" s="288"/>
      <c r="E158" s="288"/>
      <c r="F158" s="287"/>
      <c r="G158" s="287"/>
      <c r="H158" s="287"/>
    </row>
    <row r="159" spans="3:8" ht="18">
      <c r="C159" s="288"/>
      <c r="D159" s="288"/>
      <c r="E159" s="288"/>
      <c r="F159" s="287"/>
      <c r="G159" s="287"/>
      <c r="H159" s="287"/>
    </row>
    <row r="160" spans="3:8" ht="18">
      <c r="C160" s="288"/>
      <c r="D160" s="288"/>
      <c r="E160" s="288"/>
      <c r="F160" s="287"/>
      <c r="G160" s="287"/>
      <c r="H160" s="287"/>
    </row>
    <row r="161" spans="3:8" ht="18">
      <c r="C161" s="288"/>
      <c r="D161" s="288"/>
      <c r="E161" s="288"/>
      <c r="F161" s="287"/>
      <c r="G161" s="287"/>
      <c r="H161" s="287"/>
    </row>
    <row r="162" spans="3:8" ht="18">
      <c r="C162" s="288"/>
      <c r="D162" s="288"/>
      <c r="E162" s="288"/>
      <c r="F162" s="287"/>
      <c r="G162" s="287"/>
      <c r="H162" s="287"/>
    </row>
    <row r="163" spans="3:8" ht="18">
      <c r="C163" s="288"/>
      <c r="D163" s="288"/>
      <c r="E163" s="288"/>
      <c r="F163" s="287"/>
      <c r="G163" s="287"/>
      <c r="H163" s="287"/>
    </row>
    <row r="164" spans="3:8" ht="18">
      <c r="C164" s="288"/>
      <c r="D164" s="288"/>
      <c r="E164" s="288"/>
      <c r="F164" s="287"/>
      <c r="G164" s="287"/>
      <c r="H164" s="287"/>
    </row>
    <row r="165" spans="3:8" ht="18">
      <c r="C165" s="288"/>
      <c r="D165" s="288"/>
      <c r="E165" s="288"/>
      <c r="F165" s="287"/>
      <c r="G165" s="287"/>
      <c r="H165" s="287"/>
    </row>
    <row r="166" spans="6:8" ht="12.75">
      <c r="F166" s="289"/>
      <c r="G166" s="289"/>
      <c r="H166" s="289"/>
    </row>
    <row r="167" spans="6:8" ht="12.75">
      <c r="F167" s="289"/>
      <c r="G167" s="289"/>
      <c r="H167" s="289"/>
    </row>
    <row r="168" spans="6:8" ht="12.75">
      <c r="F168" s="289"/>
      <c r="G168" s="289"/>
      <c r="H168" s="289"/>
    </row>
    <row r="169" spans="6:8" ht="12.75">
      <c r="F169" s="289"/>
      <c r="G169" s="289"/>
      <c r="H169" s="289"/>
    </row>
    <row r="170" spans="6:8" ht="12.75">
      <c r="F170" s="289"/>
      <c r="G170" s="289"/>
      <c r="H170" s="289"/>
    </row>
    <row r="171" spans="6:8" ht="12.75">
      <c r="F171" s="289"/>
      <c r="G171" s="289"/>
      <c r="H171" s="289"/>
    </row>
    <row r="172" spans="6:8" ht="12.75">
      <c r="F172" s="289"/>
      <c r="G172" s="289"/>
      <c r="H172" s="289"/>
    </row>
    <row r="173" spans="6:8" ht="12.75">
      <c r="F173" s="289"/>
      <c r="G173" s="289"/>
      <c r="H173" s="289"/>
    </row>
    <row r="174" spans="6:8" ht="12.75">
      <c r="F174" s="289"/>
      <c r="G174" s="289"/>
      <c r="H174" s="289"/>
    </row>
    <row r="175" spans="6:8" ht="12.75">
      <c r="F175" s="289"/>
      <c r="G175" s="289"/>
      <c r="H175" s="289"/>
    </row>
    <row r="176" spans="6:8" ht="12.75">
      <c r="F176" s="289"/>
      <c r="G176" s="289"/>
      <c r="H176" s="289"/>
    </row>
    <row r="177" spans="6:8" ht="12.75">
      <c r="F177" s="289"/>
      <c r="G177" s="289"/>
      <c r="H177" s="289"/>
    </row>
    <row r="178" spans="6:8" ht="12.75">
      <c r="F178" s="289"/>
      <c r="G178" s="289"/>
      <c r="H178" s="289"/>
    </row>
    <row r="179" spans="6:8" ht="12.75">
      <c r="F179" s="289"/>
      <c r="G179" s="289"/>
      <c r="H179" s="289"/>
    </row>
    <row r="180" spans="6:8" ht="12.75">
      <c r="F180" s="289"/>
      <c r="G180" s="289"/>
      <c r="H180" s="289"/>
    </row>
    <row r="181" spans="6:8" ht="12.75">
      <c r="F181" s="289"/>
      <c r="G181" s="289"/>
      <c r="H181" s="289"/>
    </row>
    <row r="182" spans="6:8" ht="12.75">
      <c r="F182" s="289"/>
      <c r="G182" s="289"/>
      <c r="H182" s="289"/>
    </row>
    <row r="183" spans="6:8" ht="12.75">
      <c r="F183" s="289"/>
      <c r="G183" s="289"/>
      <c r="H183" s="289"/>
    </row>
    <row r="184" spans="6:8" ht="12.75">
      <c r="F184" s="289"/>
      <c r="G184" s="289"/>
      <c r="H184" s="289"/>
    </row>
    <row r="185" spans="6:8" ht="12.75">
      <c r="F185" s="289"/>
      <c r="G185" s="289"/>
      <c r="H185" s="289"/>
    </row>
    <row r="186" spans="6:8" ht="12.75">
      <c r="F186" s="289"/>
      <c r="G186" s="289"/>
      <c r="H186" s="289"/>
    </row>
    <row r="187" spans="6:8" ht="12.75">
      <c r="F187" s="289"/>
      <c r="G187" s="289"/>
      <c r="H187" s="289"/>
    </row>
    <row r="188" spans="6:8" ht="12.75">
      <c r="F188" s="289"/>
      <c r="G188" s="289"/>
      <c r="H188" s="289"/>
    </row>
    <row r="189" spans="6:8" ht="12.75">
      <c r="F189" s="289"/>
      <c r="G189" s="289"/>
      <c r="H189" s="289"/>
    </row>
    <row r="190" spans="6:8" ht="12.75">
      <c r="F190" s="289"/>
      <c r="G190" s="289"/>
      <c r="H190" s="289"/>
    </row>
    <row r="191" spans="6:8" ht="12.75">
      <c r="F191" s="289"/>
      <c r="G191" s="289"/>
      <c r="H191" s="289"/>
    </row>
    <row r="192" spans="6:8" ht="12.75">
      <c r="F192" s="289"/>
      <c r="G192" s="289"/>
      <c r="H192" s="289"/>
    </row>
    <row r="193" spans="6:8" ht="12.75">
      <c r="F193" s="289"/>
      <c r="G193" s="289"/>
      <c r="H193" s="289"/>
    </row>
    <row r="194" spans="6:8" ht="12.75">
      <c r="F194" s="289"/>
      <c r="G194" s="289"/>
      <c r="H194" s="289"/>
    </row>
    <row r="195" spans="6:8" ht="12.75">
      <c r="F195" s="289"/>
      <c r="G195" s="289"/>
      <c r="H195" s="289"/>
    </row>
    <row r="196" spans="6:8" ht="12.75">
      <c r="F196" s="289"/>
      <c r="G196" s="289"/>
      <c r="H196" s="289"/>
    </row>
    <row r="197" spans="6:8" ht="12.75">
      <c r="F197" s="289"/>
      <c r="G197" s="289"/>
      <c r="H197" s="289"/>
    </row>
    <row r="198" spans="6:8" ht="12.75">
      <c r="F198" s="289"/>
      <c r="G198" s="289"/>
      <c r="H198" s="289"/>
    </row>
    <row r="199" spans="6:8" ht="12.75">
      <c r="F199" s="289"/>
      <c r="G199" s="289"/>
      <c r="H199" s="289"/>
    </row>
    <row r="200" spans="6:8" ht="12.75">
      <c r="F200" s="289"/>
      <c r="G200" s="289"/>
      <c r="H200" s="289"/>
    </row>
    <row r="201" spans="6:8" ht="12.75">
      <c r="F201" s="289"/>
      <c r="G201" s="289"/>
      <c r="H201" s="289"/>
    </row>
    <row r="202" spans="6:8" ht="12.75">
      <c r="F202" s="289"/>
      <c r="G202" s="289"/>
      <c r="H202" s="289"/>
    </row>
    <row r="203" spans="6:8" ht="12.75">
      <c r="F203" s="289"/>
      <c r="G203" s="289"/>
      <c r="H203" s="289"/>
    </row>
    <row r="204" spans="6:8" ht="12.75">
      <c r="F204" s="289"/>
      <c r="G204" s="289"/>
      <c r="H204" s="289"/>
    </row>
    <row r="205" spans="6:8" ht="12.75">
      <c r="F205" s="289"/>
      <c r="G205" s="289"/>
      <c r="H205" s="289"/>
    </row>
    <row r="206" spans="6:8" ht="12.75">
      <c r="F206" s="289"/>
      <c r="G206" s="289"/>
      <c r="H206" s="289"/>
    </row>
    <row r="207" spans="6:8" ht="12.75">
      <c r="F207" s="289"/>
      <c r="G207" s="289"/>
      <c r="H207" s="289"/>
    </row>
    <row r="208" spans="6:8" ht="12.75">
      <c r="F208" s="289"/>
      <c r="G208" s="289"/>
      <c r="H208" s="289"/>
    </row>
    <row r="209" spans="6:8" ht="12.75">
      <c r="F209" s="289"/>
      <c r="G209" s="289"/>
      <c r="H209" s="289"/>
    </row>
    <row r="210" spans="6:8" ht="12.75">
      <c r="F210" s="289"/>
      <c r="G210" s="289"/>
      <c r="H210" s="289"/>
    </row>
    <row r="211" spans="6:8" ht="12.75">
      <c r="F211" s="289"/>
      <c r="G211" s="289"/>
      <c r="H211" s="289"/>
    </row>
    <row r="212" spans="6:8" ht="12.75">
      <c r="F212" s="289"/>
      <c r="G212" s="289"/>
      <c r="H212" s="289"/>
    </row>
    <row r="213" spans="6:8" ht="12.75">
      <c r="F213" s="289"/>
      <c r="G213" s="289"/>
      <c r="H213" s="289"/>
    </row>
    <row r="214" spans="6:8" ht="12.75">
      <c r="F214" s="289"/>
      <c r="G214" s="289"/>
      <c r="H214" s="289"/>
    </row>
    <row r="215" spans="6:8" ht="12.75">
      <c r="F215" s="289"/>
      <c r="G215" s="289"/>
      <c r="H215" s="289"/>
    </row>
    <row r="216" spans="6:8" ht="12.75">
      <c r="F216" s="289"/>
      <c r="G216" s="289"/>
      <c r="H216" s="289"/>
    </row>
    <row r="217" spans="6:8" ht="12.75">
      <c r="F217" s="289"/>
      <c r="G217" s="289"/>
      <c r="H217" s="289"/>
    </row>
    <row r="218" spans="6:8" ht="12.75">
      <c r="F218" s="289"/>
      <c r="G218" s="289"/>
      <c r="H218" s="289"/>
    </row>
    <row r="219" spans="6:8" ht="12.75">
      <c r="F219" s="289"/>
      <c r="G219" s="289"/>
      <c r="H219" s="289"/>
    </row>
    <row r="220" spans="6:8" ht="12.75">
      <c r="F220" s="289"/>
      <c r="G220" s="289"/>
      <c r="H220" s="289"/>
    </row>
    <row r="221" spans="6:8" ht="12.75">
      <c r="F221" s="289"/>
      <c r="G221" s="289"/>
      <c r="H221" s="289"/>
    </row>
    <row r="222" spans="6:8" ht="12.75">
      <c r="F222" s="289"/>
      <c r="G222" s="289"/>
      <c r="H222" s="289"/>
    </row>
    <row r="223" spans="6:8" ht="12.75">
      <c r="F223" s="289"/>
      <c r="G223" s="289"/>
      <c r="H223" s="289"/>
    </row>
    <row r="224" spans="6:8" ht="12.75">
      <c r="F224" s="289"/>
      <c r="G224" s="289"/>
      <c r="H224" s="289"/>
    </row>
    <row r="225" spans="6:8" ht="12.75">
      <c r="F225" s="289"/>
      <c r="G225" s="289"/>
      <c r="H225" s="289"/>
    </row>
    <row r="226" spans="6:8" ht="12.75">
      <c r="F226" s="289"/>
      <c r="G226" s="289"/>
      <c r="H226" s="289"/>
    </row>
    <row r="227" spans="6:8" ht="12.75">
      <c r="F227" s="289"/>
      <c r="G227" s="289"/>
      <c r="H227" s="289"/>
    </row>
    <row r="228" spans="6:8" ht="12.75">
      <c r="F228" s="289"/>
      <c r="G228" s="289"/>
      <c r="H228" s="289"/>
    </row>
    <row r="229" spans="6:8" ht="12.75">
      <c r="F229" s="289"/>
      <c r="G229" s="289"/>
      <c r="H229" s="289"/>
    </row>
    <row r="230" spans="6:8" ht="12.75">
      <c r="F230" s="289"/>
      <c r="G230" s="289"/>
      <c r="H230" s="289"/>
    </row>
    <row r="231" spans="6:8" ht="12.75">
      <c r="F231" s="289"/>
      <c r="G231" s="289"/>
      <c r="H231" s="289"/>
    </row>
    <row r="232" spans="6:8" ht="12.75">
      <c r="F232" s="289"/>
      <c r="G232" s="289"/>
      <c r="H232" s="289"/>
    </row>
    <row r="233" spans="6:8" ht="12.75">
      <c r="F233" s="289"/>
      <c r="G233" s="289"/>
      <c r="H233" s="289"/>
    </row>
    <row r="234" spans="6:8" ht="12.75">
      <c r="F234" s="289"/>
      <c r="G234" s="289"/>
      <c r="H234" s="289"/>
    </row>
    <row r="235" spans="6:8" ht="12.75">
      <c r="F235" s="289"/>
      <c r="G235" s="289"/>
      <c r="H235" s="289"/>
    </row>
    <row r="236" spans="6:8" ht="12.75">
      <c r="F236" s="289"/>
      <c r="G236" s="289"/>
      <c r="H236" s="289"/>
    </row>
    <row r="237" spans="6:8" ht="12.75">
      <c r="F237" s="289"/>
      <c r="G237" s="289"/>
      <c r="H237" s="289"/>
    </row>
    <row r="238" spans="6:8" ht="12.75">
      <c r="F238" s="289"/>
      <c r="G238" s="289"/>
      <c r="H238" s="289"/>
    </row>
    <row r="239" spans="6:8" ht="12.75">
      <c r="F239" s="289"/>
      <c r="G239" s="289"/>
      <c r="H239" s="289"/>
    </row>
    <row r="240" spans="6:8" ht="12.75">
      <c r="F240" s="289"/>
      <c r="G240" s="289"/>
      <c r="H240" s="289"/>
    </row>
    <row r="241" spans="6:8" ht="12.75">
      <c r="F241" s="289"/>
      <c r="G241" s="289"/>
      <c r="H241" s="289"/>
    </row>
    <row r="242" spans="6:8" ht="12.75">
      <c r="F242" s="289"/>
      <c r="G242" s="289"/>
      <c r="H242" s="289"/>
    </row>
    <row r="243" spans="6:8" ht="12.75">
      <c r="F243" s="289"/>
      <c r="G243" s="289"/>
      <c r="H243" s="289"/>
    </row>
    <row r="244" spans="6:8" ht="12.75">
      <c r="F244" s="289"/>
      <c r="G244" s="289"/>
      <c r="H244" s="289"/>
    </row>
    <row r="245" spans="6:8" ht="12.75">
      <c r="F245" s="289"/>
      <c r="G245" s="289"/>
      <c r="H245" s="289"/>
    </row>
    <row r="246" spans="6:8" ht="12.75">
      <c r="F246" s="289"/>
      <c r="G246" s="289"/>
      <c r="H246" s="289"/>
    </row>
    <row r="247" spans="6:8" ht="12.75">
      <c r="F247" s="289"/>
      <c r="G247" s="289"/>
      <c r="H247" s="289"/>
    </row>
    <row r="248" spans="6:8" ht="12.75">
      <c r="F248" s="289"/>
      <c r="G248" s="289"/>
      <c r="H248" s="289"/>
    </row>
    <row r="249" spans="6:8" ht="12.75">
      <c r="F249" s="289"/>
      <c r="G249" s="289"/>
      <c r="H249" s="289"/>
    </row>
    <row r="250" spans="6:8" ht="12.75">
      <c r="F250" s="289"/>
      <c r="G250" s="289"/>
      <c r="H250" s="289"/>
    </row>
    <row r="251" spans="6:8" ht="12.75">
      <c r="F251" s="289"/>
      <c r="G251" s="289"/>
      <c r="H251" s="289"/>
    </row>
    <row r="252" spans="6:8" ht="12.75">
      <c r="F252" s="289"/>
      <c r="G252" s="289"/>
      <c r="H252" s="289"/>
    </row>
    <row r="253" spans="6:8" ht="12.75">
      <c r="F253" s="289"/>
      <c r="G253" s="289"/>
      <c r="H253" s="289"/>
    </row>
    <row r="254" spans="6:8" ht="12.75">
      <c r="F254" s="289"/>
      <c r="G254" s="289"/>
      <c r="H254" s="289"/>
    </row>
    <row r="255" spans="6:8" ht="12.75">
      <c r="F255" s="289"/>
      <c r="G255" s="289"/>
      <c r="H255" s="289"/>
    </row>
    <row r="256" spans="6:8" ht="12.75">
      <c r="F256" s="289"/>
      <c r="G256" s="289"/>
      <c r="H256" s="289"/>
    </row>
    <row r="257" spans="6:8" ht="12.75">
      <c r="F257" s="289"/>
      <c r="G257" s="289"/>
      <c r="H257" s="289"/>
    </row>
    <row r="258" spans="6:8" ht="12.75">
      <c r="F258" s="289"/>
      <c r="G258" s="289"/>
      <c r="H258" s="289"/>
    </row>
    <row r="259" spans="6:8" ht="12.75">
      <c r="F259" s="289"/>
      <c r="G259" s="289"/>
      <c r="H259" s="289"/>
    </row>
    <row r="260" spans="6:8" ht="12.75">
      <c r="F260" s="289"/>
      <c r="G260" s="289"/>
      <c r="H260" s="289"/>
    </row>
    <row r="261" spans="6:8" ht="12.75">
      <c r="F261" s="289"/>
      <c r="G261" s="289"/>
      <c r="H261" s="289"/>
    </row>
    <row r="262" spans="6:8" ht="12.75">
      <c r="F262" s="289"/>
      <c r="G262" s="289"/>
      <c r="H262" s="289"/>
    </row>
    <row r="263" spans="6:8" ht="12.75">
      <c r="F263" s="289"/>
      <c r="G263" s="289"/>
      <c r="H263" s="289"/>
    </row>
    <row r="264" spans="6:8" ht="12.75">
      <c r="F264" s="289"/>
      <c r="G264" s="289"/>
      <c r="H264" s="289"/>
    </row>
    <row r="265" spans="6:8" ht="12.75">
      <c r="F265" s="289"/>
      <c r="G265" s="289"/>
      <c r="H265" s="289"/>
    </row>
    <row r="266" spans="6:8" ht="12.75">
      <c r="F266" s="289"/>
      <c r="G266" s="289"/>
      <c r="H266" s="289"/>
    </row>
    <row r="267" spans="6:8" ht="12.75">
      <c r="F267" s="289"/>
      <c r="G267" s="289"/>
      <c r="H267" s="289"/>
    </row>
    <row r="268" spans="6:8" ht="12.75">
      <c r="F268" s="289"/>
      <c r="G268" s="289"/>
      <c r="H268" s="289"/>
    </row>
  </sheetData>
  <sheetProtection/>
  <mergeCells count="17">
    <mergeCell ref="C105:D105"/>
    <mergeCell ref="D7:D8"/>
    <mergeCell ref="A7:A8"/>
    <mergeCell ref="B7:B8"/>
    <mergeCell ref="C7:C8"/>
    <mergeCell ref="A41:A42"/>
    <mergeCell ref="B41:B42"/>
    <mergeCell ref="C41:C42"/>
    <mergeCell ref="D41:D42"/>
    <mergeCell ref="E47:E52"/>
    <mergeCell ref="F4:H4"/>
    <mergeCell ref="C5:H5"/>
    <mergeCell ref="E7:E8"/>
    <mergeCell ref="F7:F8"/>
    <mergeCell ref="G7:G8"/>
    <mergeCell ref="H7:H8"/>
    <mergeCell ref="E22:E26"/>
  </mergeCells>
  <printOptions/>
  <pageMargins left="0.22" right="0.22" top="0.16" bottom="0.17" header="0.16" footer="0.17"/>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Q22"/>
  <sheetViews>
    <sheetView view="pageBreakPreview" zoomScaleSheetLayoutView="100" zoomScalePageLayoutView="0" workbookViewId="0" topLeftCell="B1">
      <selection activeCell="B1" sqref="A1:IV16384"/>
    </sheetView>
  </sheetViews>
  <sheetFormatPr defaultColWidth="9.16015625" defaultRowHeight="12.75"/>
  <cols>
    <col min="1" max="1" width="3.83203125" style="7" hidden="1" customWidth="1"/>
    <col min="2" max="2" width="16.5" style="70" customWidth="1"/>
    <col min="3" max="3" width="15.5" style="70" customWidth="1"/>
    <col min="4" max="4" width="17.83203125" style="70" customWidth="1"/>
    <col min="5" max="5" width="54" style="7" customWidth="1"/>
    <col min="6" max="6" width="45" style="7" customWidth="1"/>
    <col min="7" max="9" width="21.16015625" style="7" customWidth="1"/>
    <col min="10" max="10" width="4.33203125" style="6" customWidth="1"/>
    <col min="11" max="16384" width="9.16015625" style="6" customWidth="1"/>
  </cols>
  <sheetData>
    <row r="1" spans="1:9" s="26" customFormat="1" ht="13.5" customHeight="1">
      <c r="A1" s="25"/>
      <c r="B1" s="516"/>
      <c r="C1" s="516"/>
      <c r="D1" s="516"/>
      <c r="E1" s="516"/>
      <c r="F1" s="516"/>
      <c r="G1" s="516"/>
      <c r="H1" s="516"/>
      <c r="I1" s="516"/>
    </row>
    <row r="2" spans="7:9" ht="63" customHeight="1">
      <c r="G2" s="529" t="s">
        <v>105</v>
      </c>
      <c r="H2" s="529"/>
      <c r="I2" s="529"/>
    </row>
    <row r="3" spans="1:9" ht="61.5" customHeight="1">
      <c r="A3" s="3"/>
      <c r="B3" s="530" t="s">
        <v>160</v>
      </c>
      <c r="C3" s="531"/>
      <c r="D3" s="531"/>
      <c r="E3" s="531"/>
      <c r="F3" s="531"/>
      <c r="G3" s="531"/>
      <c r="H3" s="531"/>
      <c r="I3" s="531"/>
    </row>
    <row r="4" spans="2:9" ht="18.75">
      <c r="B4" s="71"/>
      <c r="C4" s="72"/>
      <c r="D4" s="72"/>
      <c r="E4" s="8"/>
      <c r="F4" s="76"/>
      <c r="G4" s="76"/>
      <c r="H4" s="77"/>
      <c r="I4" s="58" t="s">
        <v>94</v>
      </c>
    </row>
    <row r="5" spans="1:9" ht="107.25" customHeight="1">
      <c r="A5" s="75"/>
      <c r="B5" s="78" t="s">
        <v>152</v>
      </c>
      <c r="C5" s="78" t="s">
        <v>153</v>
      </c>
      <c r="D5" s="34" t="s">
        <v>159</v>
      </c>
      <c r="E5" s="79" t="s">
        <v>148</v>
      </c>
      <c r="F5" s="59" t="s">
        <v>106</v>
      </c>
      <c r="G5" s="80" t="s">
        <v>65</v>
      </c>
      <c r="H5" s="59" t="s">
        <v>66</v>
      </c>
      <c r="I5" s="59" t="s">
        <v>107</v>
      </c>
    </row>
    <row r="6" spans="1:9" s="13" customFormat="1" ht="22.5" customHeight="1">
      <c r="A6" s="12"/>
      <c r="B6" s="73" t="s">
        <v>99</v>
      </c>
      <c r="C6" s="73"/>
      <c r="D6" s="73"/>
      <c r="E6" s="60" t="s">
        <v>95</v>
      </c>
      <c r="F6" s="61"/>
      <c r="G6" s="61"/>
      <c r="H6" s="61"/>
      <c r="I6" s="61"/>
    </row>
    <row r="7" spans="2:9" ht="28.5" customHeight="1">
      <c r="B7" s="73" t="s">
        <v>74</v>
      </c>
      <c r="C7" s="73"/>
      <c r="D7" s="73"/>
      <c r="E7" s="60" t="s">
        <v>96</v>
      </c>
      <c r="F7" s="62"/>
      <c r="G7" s="62"/>
      <c r="H7" s="62"/>
      <c r="I7" s="62"/>
    </row>
    <row r="8" spans="2:9" ht="30">
      <c r="B8" s="73" t="s">
        <v>113</v>
      </c>
      <c r="C8" s="74" t="s">
        <v>156</v>
      </c>
      <c r="D8" s="74" t="s">
        <v>109</v>
      </c>
      <c r="E8" s="64" t="s">
        <v>115</v>
      </c>
      <c r="F8" s="62"/>
      <c r="G8" s="62"/>
      <c r="H8" s="62"/>
      <c r="I8" s="62"/>
    </row>
    <row r="9" spans="2:9" ht="14.25">
      <c r="B9" s="59" t="s">
        <v>79</v>
      </c>
      <c r="C9" s="59" t="s">
        <v>79</v>
      </c>
      <c r="D9" s="73"/>
      <c r="E9" s="60" t="s">
        <v>79</v>
      </c>
      <c r="F9" s="65"/>
      <c r="G9" s="65"/>
      <c r="H9" s="65"/>
      <c r="I9" s="65"/>
    </row>
    <row r="10" spans="2:9" ht="28.5">
      <c r="B10" s="59">
        <v>1000000</v>
      </c>
      <c r="C10" s="63"/>
      <c r="D10" s="74"/>
      <c r="E10" s="66" t="s">
        <v>97</v>
      </c>
      <c r="F10" s="65"/>
      <c r="G10" s="65"/>
      <c r="H10" s="65"/>
      <c r="I10" s="65"/>
    </row>
    <row r="11" spans="2:9" ht="28.5">
      <c r="B11" s="59">
        <v>1010000</v>
      </c>
      <c r="C11" s="63"/>
      <c r="D11" s="74"/>
      <c r="E11" s="66" t="s">
        <v>98</v>
      </c>
      <c r="F11" s="65"/>
      <c r="G11" s="65"/>
      <c r="H11" s="65"/>
      <c r="I11" s="65"/>
    </row>
    <row r="12" spans="2:9" ht="30">
      <c r="B12" s="59" t="s">
        <v>102</v>
      </c>
      <c r="C12" s="63"/>
      <c r="D12" s="74"/>
      <c r="E12" s="67" t="s">
        <v>149</v>
      </c>
      <c r="F12" s="65"/>
      <c r="G12" s="65"/>
      <c r="H12" s="65"/>
      <c r="I12" s="65"/>
    </row>
    <row r="13" spans="2:9" ht="15">
      <c r="B13" s="59" t="s">
        <v>103</v>
      </c>
      <c r="C13" s="63"/>
      <c r="D13" s="74"/>
      <c r="E13" s="68" t="s">
        <v>150</v>
      </c>
      <c r="F13" s="62"/>
      <c r="G13" s="62"/>
      <c r="H13" s="62"/>
      <c r="I13" s="62"/>
    </row>
    <row r="14" spans="2:9" ht="15">
      <c r="B14" s="59" t="s">
        <v>104</v>
      </c>
      <c r="C14" s="63"/>
      <c r="D14" s="74"/>
      <c r="E14" s="68" t="s">
        <v>151</v>
      </c>
      <c r="F14" s="62"/>
      <c r="G14" s="62"/>
      <c r="H14" s="62"/>
      <c r="I14" s="62"/>
    </row>
    <row r="15" spans="2:9" ht="14.25">
      <c r="B15" s="59" t="s">
        <v>79</v>
      </c>
      <c r="C15" s="59" t="s">
        <v>79</v>
      </c>
      <c r="D15" s="73"/>
      <c r="E15" s="66" t="s">
        <v>79</v>
      </c>
      <c r="F15" s="65"/>
      <c r="G15" s="65"/>
      <c r="H15" s="65"/>
      <c r="I15" s="65"/>
    </row>
    <row r="16" spans="2:9" ht="33.75" customHeight="1">
      <c r="B16" s="63"/>
      <c r="C16" s="63"/>
      <c r="D16" s="74"/>
      <c r="E16" s="60" t="s">
        <v>101</v>
      </c>
      <c r="F16" s="69"/>
      <c r="G16" s="69"/>
      <c r="H16" s="69"/>
      <c r="I16" s="69"/>
    </row>
    <row r="18" spans="2:9" ht="23.25" customHeight="1">
      <c r="B18" s="611" t="s">
        <v>112</v>
      </c>
      <c r="C18" s="611"/>
      <c r="D18" s="611"/>
      <c r="E18" s="611"/>
      <c r="F18" s="611"/>
      <c r="G18" s="611"/>
      <c r="H18" s="611"/>
      <c r="I18" s="611"/>
    </row>
    <row r="19" spans="2:17" ht="20.25" customHeight="1">
      <c r="B19" s="612" t="s">
        <v>154</v>
      </c>
      <c r="C19" s="612"/>
      <c r="D19" s="612"/>
      <c r="E19" s="612"/>
      <c r="F19" s="612"/>
      <c r="G19" s="612"/>
      <c r="H19" s="612"/>
      <c r="I19" s="612"/>
      <c r="J19" s="81"/>
      <c r="K19" s="81"/>
      <c r="L19" s="81"/>
      <c r="M19" s="81"/>
      <c r="N19" s="81"/>
      <c r="O19" s="81"/>
      <c r="P19" s="81"/>
      <c r="Q19" s="81"/>
    </row>
    <row r="20" spans="2:17" ht="20.25" customHeight="1">
      <c r="B20" s="534" t="s">
        <v>157</v>
      </c>
      <c r="C20" s="534"/>
      <c r="D20" s="534"/>
      <c r="E20" s="534"/>
      <c r="F20" s="534"/>
      <c r="G20" s="534"/>
      <c r="H20" s="534"/>
      <c r="I20" s="534"/>
      <c r="J20" s="534"/>
      <c r="K20" s="534"/>
      <c r="L20" s="534"/>
      <c r="M20" s="534"/>
      <c r="N20" s="534"/>
      <c r="O20" s="534"/>
      <c r="P20" s="534"/>
      <c r="Q20" s="534"/>
    </row>
    <row r="21" spans="2:17" ht="30.75" customHeight="1">
      <c r="B21" s="612" t="s">
        <v>155</v>
      </c>
      <c r="C21" s="612"/>
      <c r="D21" s="612"/>
      <c r="E21" s="612"/>
      <c r="F21" s="612"/>
      <c r="G21" s="612"/>
      <c r="H21" s="612"/>
      <c r="I21" s="612"/>
      <c r="J21" s="81"/>
      <c r="K21" s="81"/>
      <c r="L21" s="81"/>
      <c r="M21" s="81"/>
      <c r="N21" s="81"/>
      <c r="O21" s="81"/>
      <c r="P21" s="81"/>
      <c r="Q21" s="81"/>
    </row>
    <row r="22" spans="2:17" ht="21" customHeight="1">
      <c r="B22" s="534" t="s">
        <v>158</v>
      </c>
      <c r="C22" s="534"/>
      <c r="D22" s="534"/>
      <c r="E22" s="534"/>
      <c r="F22" s="534"/>
      <c r="G22" s="534"/>
      <c r="H22" s="534"/>
      <c r="I22" s="534"/>
      <c r="J22" s="534"/>
      <c r="K22" s="534"/>
      <c r="L22" s="534"/>
      <c r="M22" s="534"/>
      <c r="N22" s="534"/>
      <c r="O22" s="534"/>
      <c r="P22" s="534"/>
      <c r="Q22" s="534"/>
    </row>
  </sheetData>
  <sheetProtection/>
  <mergeCells count="8">
    <mergeCell ref="B22:Q22"/>
    <mergeCell ref="B18:I18"/>
    <mergeCell ref="B1:I1"/>
    <mergeCell ref="G2:I2"/>
    <mergeCell ref="B3:I3"/>
    <mergeCell ref="B19:I19"/>
    <mergeCell ref="B21:I21"/>
    <mergeCell ref="B20:Q20"/>
  </mergeCells>
  <printOptions/>
  <pageMargins left="0.7086614173228347" right="0.5118110236220472" top="0.35433070866141736" bottom="0.6299212598425197" header="0.35433070866141736" footer="0.35433070866141736"/>
  <pageSetup fitToHeight="32" horizontalDpi="600" verticalDpi="600" orientation="landscape" paperSize="9" scale="68"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I16"/>
  <sheetViews>
    <sheetView workbookViewId="0" topLeftCell="A1">
      <selection activeCell="P22" sqref="P22"/>
    </sheetView>
  </sheetViews>
  <sheetFormatPr defaultColWidth="9.33203125" defaultRowHeight="12.75"/>
  <sheetData>
    <row r="1" ht="12.75">
      <c r="H1" t="s">
        <v>563</v>
      </c>
    </row>
    <row r="2" ht="12.75">
      <c r="H2" t="s">
        <v>342</v>
      </c>
    </row>
    <row r="3" ht="12.75">
      <c r="H3" t="s">
        <v>564</v>
      </c>
    </row>
    <row r="5" ht="12.75">
      <c r="A5" t="s">
        <v>565</v>
      </c>
    </row>
    <row r="6" ht="12.75">
      <c r="I6" t="s">
        <v>494</v>
      </c>
    </row>
    <row r="7" spans="1:9" ht="12.75">
      <c r="A7" t="s">
        <v>356</v>
      </c>
      <c r="B7" t="s">
        <v>281</v>
      </c>
      <c r="C7" t="s">
        <v>357</v>
      </c>
      <c r="D7" t="s">
        <v>566</v>
      </c>
      <c r="E7" t="s">
        <v>567</v>
      </c>
      <c r="F7" t="s">
        <v>568</v>
      </c>
      <c r="G7" t="s">
        <v>569</v>
      </c>
      <c r="H7" t="s">
        <v>570</v>
      </c>
      <c r="I7" t="s">
        <v>571</v>
      </c>
    </row>
    <row r="8" spans="1:9" ht="12.75">
      <c r="A8">
        <v>300000</v>
      </c>
      <c r="D8" t="s">
        <v>182</v>
      </c>
      <c r="F8" s="505">
        <v>5602682</v>
      </c>
      <c r="G8">
        <v>24</v>
      </c>
      <c r="H8" s="505">
        <v>4297943</v>
      </c>
      <c r="I8" s="505">
        <v>1277933</v>
      </c>
    </row>
    <row r="9" spans="1:9" ht="12.75">
      <c r="A9">
        <v>310000</v>
      </c>
      <c r="D9" t="s">
        <v>182</v>
      </c>
      <c r="F9" s="505">
        <v>5602682</v>
      </c>
      <c r="G9">
        <v>24</v>
      </c>
      <c r="H9" s="505">
        <v>4297943</v>
      </c>
      <c r="I9" s="505">
        <v>1277933</v>
      </c>
    </row>
    <row r="10" spans="1:9" ht="12.75">
      <c r="A10">
        <v>316310</v>
      </c>
      <c r="B10">
        <v>6310</v>
      </c>
      <c r="C10">
        <v>490</v>
      </c>
      <c r="D10" t="s">
        <v>250</v>
      </c>
      <c r="E10" t="s">
        <v>572</v>
      </c>
      <c r="F10" s="505">
        <v>5602682</v>
      </c>
      <c r="G10">
        <v>24</v>
      </c>
      <c r="H10" s="505">
        <v>4297943</v>
      </c>
      <c r="I10" s="505">
        <v>1277933</v>
      </c>
    </row>
    <row r="11" spans="1:9" ht="12.75">
      <c r="A11" t="s">
        <v>68</v>
      </c>
      <c r="F11" s="505">
        <v>5602682</v>
      </c>
      <c r="G11">
        <v>24</v>
      </c>
      <c r="H11" s="505">
        <v>4297943</v>
      </c>
      <c r="I11" s="505">
        <v>1277933</v>
      </c>
    </row>
    <row r="13" spans="1:7" ht="12.75">
      <c r="A13" t="s">
        <v>573</v>
      </c>
      <c r="G13" t="s">
        <v>574</v>
      </c>
    </row>
    <row r="16" ht="12.75">
      <c r="I16" t="s">
        <v>575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30"/>
  <sheetViews>
    <sheetView zoomScalePageLayoutView="0" workbookViewId="0" topLeftCell="A1">
      <selection activeCell="D18" sqref="D18"/>
    </sheetView>
  </sheetViews>
  <sheetFormatPr defaultColWidth="9.33203125" defaultRowHeight="12.75"/>
  <cols>
    <col min="1" max="1" width="12.16015625" style="0" customWidth="1"/>
    <col min="2" max="2" width="81" style="0" customWidth="1"/>
    <col min="3" max="3" width="25" style="0" customWidth="1"/>
    <col min="4" max="4" width="27" style="0" customWidth="1"/>
    <col min="5" max="5" width="22.83203125" style="0" bestFit="1" customWidth="1"/>
    <col min="6" max="6" width="26.83203125" style="0" customWidth="1"/>
    <col min="7" max="7" width="0.4921875" style="0" customWidth="1"/>
    <col min="8" max="8" width="20.66015625" style="0" customWidth="1"/>
    <col min="9" max="9" width="16.83203125" style="0" bestFit="1" customWidth="1"/>
    <col min="10" max="10" width="17.5" style="0" customWidth="1"/>
  </cols>
  <sheetData>
    <row r="1" spans="1:5" ht="18.75">
      <c r="A1" s="397"/>
      <c r="B1" s="398"/>
      <c r="C1" s="398"/>
      <c r="E1" s="398" t="s">
        <v>323</v>
      </c>
    </row>
    <row r="2" spans="2:5" ht="18.75">
      <c r="B2" s="399"/>
      <c r="C2" s="399"/>
      <c r="E2" s="398" t="s">
        <v>342</v>
      </c>
    </row>
    <row r="3" spans="1:8" ht="18.75">
      <c r="A3" s="397"/>
      <c r="B3" s="398"/>
      <c r="C3" s="398"/>
      <c r="E3" s="398" t="s">
        <v>129</v>
      </c>
      <c r="F3" s="398"/>
      <c r="G3" s="398"/>
      <c r="H3" s="398"/>
    </row>
    <row r="4" spans="1:4" ht="16.5">
      <c r="A4" s="397"/>
      <c r="B4" s="151"/>
      <c r="C4" s="151"/>
      <c r="D4" s="397"/>
    </row>
    <row r="5" spans="1:7" ht="22.5">
      <c r="A5" s="613" t="s">
        <v>543</v>
      </c>
      <c r="B5" s="613"/>
      <c r="C5" s="613"/>
      <c r="D5" s="613"/>
      <c r="E5" s="613"/>
      <c r="F5" s="613"/>
      <c r="G5" s="613"/>
    </row>
    <row r="6" spans="1:6" ht="18.75">
      <c r="A6" s="400"/>
      <c r="B6" s="400"/>
      <c r="C6" s="400"/>
      <c r="F6" s="401" t="s">
        <v>343</v>
      </c>
    </row>
    <row r="7" spans="1:6" ht="21.75" customHeight="1">
      <c r="A7" s="549" t="s">
        <v>26</v>
      </c>
      <c r="B7" s="549" t="s">
        <v>532</v>
      </c>
      <c r="C7" s="614" t="s">
        <v>68</v>
      </c>
      <c r="D7" s="616" t="s">
        <v>65</v>
      </c>
      <c r="E7" s="618" t="s">
        <v>66</v>
      </c>
      <c r="F7" s="619"/>
    </row>
    <row r="8" spans="1:6" ht="37.5" customHeight="1">
      <c r="A8" s="551"/>
      <c r="B8" s="551"/>
      <c r="C8" s="615"/>
      <c r="D8" s="617"/>
      <c r="E8" s="402" t="s">
        <v>67</v>
      </c>
      <c r="F8" s="403" t="s">
        <v>77</v>
      </c>
    </row>
    <row r="9" spans="1:6" ht="18.75">
      <c r="A9" s="404">
        <v>1</v>
      </c>
      <c r="B9" s="404">
        <v>2</v>
      </c>
      <c r="C9" s="404">
        <v>3</v>
      </c>
      <c r="D9" s="404">
        <v>4</v>
      </c>
      <c r="E9" s="405">
        <v>5</v>
      </c>
      <c r="F9" s="405">
        <v>6</v>
      </c>
    </row>
    <row r="10" spans="1:6" ht="18.75">
      <c r="A10" s="406">
        <v>200000</v>
      </c>
      <c r="B10" s="407" t="s">
        <v>533</v>
      </c>
      <c r="C10" s="453">
        <f>C14+C11</f>
        <v>11261732.2</v>
      </c>
      <c r="D10" s="209">
        <f>D14+D11</f>
        <v>4895837</v>
      </c>
      <c r="E10" s="453">
        <f>E14+E11</f>
        <v>6365895.2</v>
      </c>
      <c r="F10" s="209">
        <f>F14+F11</f>
        <v>6347933</v>
      </c>
    </row>
    <row r="11" spans="1:6" ht="39">
      <c r="A11" s="408">
        <v>206000</v>
      </c>
      <c r="B11" s="409" t="s">
        <v>534</v>
      </c>
      <c r="C11" s="410">
        <f>SUM(C12:C13)</f>
        <v>0</v>
      </c>
      <c r="D11" s="410">
        <f>SUM(D12:D13)</f>
        <v>0</v>
      </c>
      <c r="E11" s="410">
        <f>SUM(E12:E13)</f>
        <v>0</v>
      </c>
      <c r="F11" s="410">
        <f>SUM(F12:F13)</f>
        <v>0</v>
      </c>
    </row>
    <row r="12" spans="1:6" ht="18.75">
      <c r="A12" s="411">
        <v>206110</v>
      </c>
      <c r="B12" s="412" t="s">
        <v>535</v>
      </c>
      <c r="C12" s="174">
        <f>D12+E12</f>
        <v>2750000</v>
      </c>
      <c r="D12" s="174">
        <v>2750000</v>
      </c>
      <c r="E12" s="174"/>
      <c r="F12" s="174"/>
    </row>
    <row r="13" spans="1:6" ht="18.75">
      <c r="A13" s="411">
        <v>206210</v>
      </c>
      <c r="B13" s="412" t="s">
        <v>536</v>
      </c>
      <c r="C13" s="174">
        <f>D13+E13</f>
        <v>-2750000</v>
      </c>
      <c r="D13" s="174">
        <v>-2750000</v>
      </c>
      <c r="E13" s="174"/>
      <c r="F13" s="174"/>
    </row>
    <row r="14" spans="1:6" ht="24" customHeight="1">
      <c r="A14" s="408">
        <v>208000</v>
      </c>
      <c r="B14" s="409" t="s">
        <v>537</v>
      </c>
      <c r="C14" s="209">
        <f>C15-C16+C17</f>
        <v>11261732.2</v>
      </c>
      <c r="D14" s="410">
        <f>+D15-D16+D17</f>
        <v>4895837</v>
      </c>
      <c r="E14" s="410">
        <f>+E15-E16+E17</f>
        <v>6365895.2</v>
      </c>
      <c r="F14" s="410">
        <f>+F15-F16+F17</f>
        <v>6347933</v>
      </c>
    </row>
    <row r="15" spans="1:10" ht="18.75">
      <c r="A15" s="411">
        <v>208100</v>
      </c>
      <c r="B15" s="412" t="s">
        <v>41</v>
      </c>
      <c r="C15" s="176">
        <f aca="true" t="shared" si="0" ref="C15:C28">D15+E15</f>
        <v>13527465.77</v>
      </c>
      <c r="D15" s="176">
        <v>13502445.61</v>
      </c>
      <c r="E15" s="176">
        <v>25020.16</v>
      </c>
      <c r="F15" s="176"/>
      <c r="H15" s="413">
        <f>D15-D16</f>
        <v>11243770</v>
      </c>
      <c r="I15" s="413">
        <f>E15-E16</f>
        <v>17962.2</v>
      </c>
      <c r="J15" s="413">
        <f>F15-F16</f>
        <v>0</v>
      </c>
    </row>
    <row r="16" spans="1:6" ht="18.75">
      <c r="A16" s="411">
        <v>208200</v>
      </c>
      <c r="B16" s="412" t="s">
        <v>538</v>
      </c>
      <c r="C16" s="176">
        <f t="shared" si="0"/>
        <v>2265733.57</v>
      </c>
      <c r="D16" s="176">
        <v>2258675.61</v>
      </c>
      <c r="E16" s="176">
        <v>7057.96</v>
      </c>
      <c r="F16" s="176"/>
    </row>
    <row r="17" spans="1:8" ht="37.5">
      <c r="A17" s="411">
        <v>208400</v>
      </c>
      <c r="B17" s="412" t="s">
        <v>539</v>
      </c>
      <c r="C17" s="174">
        <f t="shared" si="0"/>
        <v>0</v>
      </c>
      <c r="D17" s="174">
        <v>-6347933</v>
      </c>
      <c r="E17" s="445">
        <v>6347933</v>
      </c>
      <c r="F17" s="445">
        <v>6347933</v>
      </c>
      <c r="H17" s="413">
        <f>+D15-D16</f>
        <v>11243770</v>
      </c>
    </row>
    <row r="18" spans="1:6" ht="18.75">
      <c r="A18" s="411"/>
      <c r="B18" s="414" t="s">
        <v>540</v>
      </c>
      <c r="C18" s="209">
        <f t="shared" si="0"/>
        <v>11261732.2</v>
      </c>
      <c r="D18" s="209">
        <f>D10</f>
        <v>4895837</v>
      </c>
      <c r="E18" s="209">
        <f>E20</f>
        <v>6365895.2</v>
      </c>
      <c r="F18" s="209">
        <f>F20</f>
        <v>6347933</v>
      </c>
    </row>
    <row r="19" spans="1:6" ht="18.75">
      <c r="A19" s="415">
        <v>400000</v>
      </c>
      <c r="B19" s="407" t="s">
        <v>29</v>
      </c>
      <c r="C19" s="209">
        <f t="shared" si="0"/>
        <v>0</v>
      </c>
      <c r="D19" s="174"/>
      <c r="E19" s="174"/>
      <c r="F19" s="174"/>
    </row>
    <row r="20" spans="1:6" ht="18.75">
      <c r="A20" s="415">
        <v>600000</v>
      </c>
      <c r="B20" s="407" t="s">
        <v>36</v>
      </c>
      <c r="C20" s="209">
        <f t="shared" si="0"/>
        <v>11261732.2</v>
      </c>
      <c r="D20" s="209">
        <f>+D24</f>
        <v>4895837</v>
      </c>
      <c r="E20" s="209">
        <f>+E24</f>
        <v>6365895.2</v>
      </c>
      <c r="F20" s="209">
        <f>+F24</f>
        <v>6347933</v>
      </c>
    </row>
    <row r="21" spans="1:9" ht="39">
      <c r="A21" s="408">
        <v>601000</v>
      </c>
      <c r="B21" s="409" t="s">
        <v>534</v>
      </c>
      <c r="C21" s="174">
        <f t="shared" si="0"/>
        <v>0</v>
      </c>
      <c r="D21" s="410">
        <f>D23+D22</f>
        <v>0</v>
      </c>
      <c r="E21" s="410">
        <f>E23+E22</f>
        <v>0</v>
      </c>
      <c r="F21" s="410">
        <f>F23+F22</f>
        <v>0</v>
      </c>
      <c r="I21">
        <v>2784384</v>
      </c>
    </row>
    <row r="22" spans="1:6" ht="18.75">
      <c r="A22" s="411">
        <v>601110</v>
      </c>
      <c r="B22" s="412" t="s">
        <v>535</v>
      </c>
      <c r="C22" s="174">
        <f t="shared" si="0"/>
        <v>2750000</v>
      </c>
      <c r="D22" s="174">
        <f aca="true" t="shared" si="1" ref="D22:F23">D12</f>
        <v>2750000</v>
      </c>
      <c r="E22" s="174">
        <f t="shared" si="1"/>
        <v>0</v>
      </c>
      <c r="F22" s="174">
        <f t="shared" si="1"/>
        <v>0</v>
      </c>
    </row>
    <row r="23" spans="1:6" ht="18.75">
      <c r="A23" s="411">
        <v>601210</v>
      </c>
      <c r="B23" s="412" t="s">
        <v>536</v>
      </c>
      <c r="C23" s="174">
        <f t="shared" si="0"/>
        <v>-2750000</v>
      </c>
      <c r="D23" s="174">
        <f t="shared" si="1"/>
        <v>-2750000</v>
      </c>
      <c r="E23" s="174">
        <f t="shared" si="1"/>
        <v>0</v>
      </c>
      <c r="F23" s="174">
        <f t="shared" si="1"/>
        <v>0</v>
      </c>
    </row>
    <row r="24" spans="1:6" ht="19.5">
      <c r="A24" s="408">
        <v>602000</v>
      </c>
      <c r="B24" s="409" t="s">
        <v>40</v>
      </c>
      <c r="C24" s="209">
        <f t="shared" si="0"/>
        <v>11261732.2</v>
      </c>
      <c r="D24" s="410">
        <f>+D25-D26+D27</f>
        <v>4895837</v>
      </c>
      <c r="E24" s="410">
        <f>+E25-E26+E27</f>
        <v>6365895.2</v>
      </c>
      <c r="F24" s="410">
        <f>+F25-F26+F27</f>
        <v>6347933</v>
      </c>
    </row>
    <row r="25" spans="1:6" ht="18.75">
      <c r="A25" s="411">
        <v>602100</v>
      </c>
      <c r="B25" s="412" t="s">
        <v>41</v>
      </c>
      <c r="C25" s="176">
        <f t="shared" si="0"/>
        <v>13527465.77</v>
      </c>
      <c r="D25" s="176">
        <f aca="true" t="shared" si="2" ref="D25:F26">+D15</f>
        <v>13502445.61</v>
      </c>
      <c r="E25" s="176">
        <f t="shared" si="2"/>
        <v>25020.16</v>
      </c>
      <c r="F25" s="176">
        <f t="shared" si="2"/>
        <v>0</v>
      </c>
    </row>
    <row r="26" spans="1:6" ht="18.75">
      <c r="A26" s="411">
        <v>602200</v>
      </c>
      <c r="B26" s="412" t="s">
        <v>538</v>
      </c>
      <c r="C26" s="176">
        <f t="shared" si="0"/>
        <v>2265733.57</v>
      </c>
      <c r="D26" s="176">
        <f t="shared" si="2"/>
        <v>2258675.61</v>
      </c>
      <c r="E26" s="176">
        <f t="shared" si="2"/>
        <v>7057.96</v>
      </c>
      <c r="F26" s="176">
        <f t="shared" si="2"/>
        <v>0</v>
      </c>
    </row>
    <row r="27" spans="1:6" ht="37.5" customHeight="1">
      <c r="A27" s="411">
        <v>602400</v>
      </c>
      <c r="B27" s="412" t="s">
        <v>539</v>
      </c>
      <c r="C27" s="174">
        <f t="shared" si="0"/>
        <v>0</v>
      </c>
      <c r="D27" s="174">
        <f>D17</f>
        <v>-6347933</v>
      </c>
      <c r="E27" s="174">
        <f>E17</f>
        <v>6347933</v>
      </c>
      <c r="F27" s="174">
        <f>F17</f>
        <v>6347933</v>
      </c>
    </row>
    <row r="28" spans="1:6" ht="18.75">
      <c r="A28" s="411"/>
      <c r="B28" s="407" t="s">
        <v>541</v>
      </c>
      <c r="C28" s="209">
        <f t="shared" si="0"/>
        <v>11261732.2</v>
      </c>
      <c r="D28" s="209">
        <f>+D20</f>
        <v>4895837</v>
      </c>
      <c r="E28" s="209">
        <f>+E20</f>
        <v>6365895.2</v>
      </c>
      <c r="F28" s="209">
        <f>+F20</f>
        <v>6347933</v>
      </c>
    </row>
    <row r="29" spans="1:7" ht="16.5">
      <c r="A29" s="416"/>
      <c r="B29" s="417"/>
      <c r="D29" s="418"/>
      <c r="E29" s="418"/>
      <c r="F29" s="418"/>
      <c r="G29" s="418"/>
    </row>
    <row r="30" spans="1:15" ht="45" customHeight="1">
      <c r="A30" s="419" t="s">
        <v>542</v>
      </c>
      <c r="B30" s="161" t="s">
        <v>248</v>
      </c>
      <c r="C30" s="161"/>
      <c r="D30" s="161"/>
      <c r="E30" s="420"/>
      <c r="F30" s="150" t="s">
        <v>249</v>
      </c>
      <c r="G30" s="282"/>
      <c r="H30" s="421"/>
      <c r="I30" s="152"/>
      <c r="J30" s="152"/>
      <c r="K30" s="285"/>
      <c r="L30" s="152"/>
      <c r="M30" s="161"/>
      <c r="N30" s="196"/>
      <c r="O30" s="196"/>
    </row>
  </sheetData>
  <sheetProtection/>
  <mergeCells count="6">
    <mergeCell ref="A5:G5"/>
    <mergeCell ref="A7:A8"/>
    <mergeCell ref="B7:B8"/>
    <mergeCell ref="C7:C8"/>
    <mergeCell ref="D7:D8"/>
    <mergeCell ref="E7:F7"/>
  </mergeCells>
  <printOptions/>
  <pageMargins left="0.16" right="0.75" top="0.32" bottom="0.18" header="0.22"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zzzz</cp:lastModifiedBy>
  <cp:lastPrinted>2017-07-31T13:20:03Z</cp:lastPrinted>
  <dcterms:created xsi:type="dcterms:W3CDTF">2014-01-17T10:52:16Z</dcterms:created>
  <dcterms:modified xsi:type="dcterms:W3CDTF">2017-07-31T13:27:34Z</dcterms:modified>
  <cp:category/>
  <cp:version/>
  <cp:contentType/>
  <cp:contentStatus/>
</cp:coreProperties>
</file>